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D:\Documents\Railway Stuff\LD Porta\Porta-Papers\Transcribed\Chris Newman transcriptions\Vol 3\Combustion\Combustion Calcs - criticism of Lawford Fry\Martin Johnson Docs\"/>
    </mc:Choice>
  </mc:AlternateContent>
  <xr:revisionPtr revIDLastSave="0" documentId="13_ncr:1_{9ACCE0EA-7B61-4B57-AB1A-F4A408C6A6B7}" xr6:coauthVersionLast="47" xr6:coauthVersionMax="47" xr10:uidLastSave="{00000000-0000-0000-0000-000000000000}"/>
  <bookViews>
    <workbookView xWindow="-120" yWindow="-120" windowWidth="29040" windowHeight="15720" tabRatio="169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0" i="1" l="1"/>
  <c r="I99" i="1"/>
  <c r="G99" i="1"/>
  <c r="I98" i="1"/>
  <c r="G98" i="1"/>
  <c r="G76" i="1"/>
  <c r="I75" i="1"/>
  <c r="G75" i="1"/>
  <c r="I74" i="1"/>
  <c r="G74" i="1"/>
  <c r="G52" i="1"/>
  <c r="D55" i="1" s="1"/>
  <c r="I51" i="1"/>
  <c r="G51" i="1"/>
  <c r="I50" i="1"/>
  <c r="G50" i="1"/>
  <c r="G28" i="1"/>
  <c r="G27" i="1"/>
  <c r="G26" i="1"/>
  <c r="I27" i="1"/>
  <c r="I26" i="1"/>
  <c r="L105" i="1"/>
  <c r="K105" i="1"/>
  <c r="J105" i="1"/>
  <c r="I105" i="1"/>
  <c r="H105" i="1"/>
  <c r="G105" i="1"/>
  <c r="F105" i="1"/>
  <c r="E105" i="1"/>
  <c r="D105" i="1"/>
  <c r="C105" i="1"/>
  <c r="B105" i="1"/>
  <c r="L81" i="1"/>
  <c r="K81" i="1"/>
  <c r="J81" i="1"/>
  <c r="I81" i="1"/>
  <c r="H81" i="1"/>
  <c r="G81" i="1"/>
  <c r="F81" i="1"/>
  <c r="E81" i="1"/>
  <c r="D81" i="1"/>
  <c r="C81" i="1"/>
  <c r="B81" i="1"/>
  <c r="L57" i="1"/>
  <c r="K57" i="1"/>
  <c r="J57" i="1"/>
  <c r="I57" i="1"/>
  <c r="H57" i="1"/>
  <c r="G57" i="1"/>
  <c r="F57" i="1"/>
  <c r="E57" i="1"/>
  <c r="D57" i="1"/>
  <c r="C57" i="1"/>
  <c r="B57" i="1"/>
  <c r="L33" i="1"/>
  <c r="K33" i="1"/>
  <c r="J33" i="1"/>
  <c r="I33" i="1"/>
  <c r="H33" i="1"/>
  <c r="G33" i="1"/>
  <c r="F33" i="1"/>
  <c r="E33" i="1"/>
  <c r="D33" i="1"/>
  <c r="C33" i="1"/>
  <c r="B33" i="1"/>
  <c r="F3" i="1"/>
  <c r="F75" i="1"/>
  <c r="F50" i="1"/>
  <c r="F51" i="1" s="1"/>
  <c r="B55" i="1" s="1"/>
  <c r="E55" i="1" s="1"/>
  <c r="F52" i="1"/>
  <c r="A55" i="1"/>
  <c r="C55" i="1" s="1"/>
  <c r="S32" i="1"/>
  <c r="O33" i="1" s="1"/>
  <c r="S30" i="1"/>
  <c r="S34" i="1" s="1"/>
  <c r="Q26" i="1"/>
  <c r="Q27" i="1"/>
  <c r="Q28" i="1"/>
  <c r="Q29" i="1" s="1"/>
  <c r="Q30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1" i="1" s="1"/>
  <c r="Q52" i="1" s="1"/>
  <c r="Q54" i="1" s="1"/>
  <c r="Q55" i="1" s="1"/>
  <c r="Q56" i="1" s="1"/>
  <c r="Q57" i="1" s="1"/>
  <c r="Q58" i="1" s="1"/>
  <c r="Q59" i="1" s="1"/>
  <c r="Q61" i="1" s="1"/>
  <c r="Q62" i="1" s="1"/>
  <c r="Q63" i="1" s="1"/>
  <c r="Q64" i="1" s="1"/>
  <c r="Q66" i="1" s="1"/>
  <c r="Q67" i="1" s="1"/>
  <c r="Q69" i="1" s="1"/>
  <c r="Q70" i="1" s="1"/>
  <c r="Q71" i="1" s="1"/>
  <c r="Q72" i="1" s="1"/>
  <c r="Q73" i="1" s="1"/>
  <c r="Q74" i="1" s="1"/>
  <c r="Q76" i="1" s="1"/>
  <c r="Q77" i="1" s="1"/>
  <c r="Q78" i="1" s="1"/>
  <c r="F76" i="1"/>
  <c r="A79" i="1" s="1"/>
  <c r="B79" i="1" s="1"/>
  <c r="E79" i="1" s="1"/>
  <c r="F74" i="1"/>
  <c r="F73" i="1"/>
  <c r="F100" i="1"/>
  <c r="A103" i="1" s="1"/>
  <c r="D103" i="1" s="1"/>
  <c r="F28" i="1"/>
  <c r="A31" i="1" s="1"/>
  <c r="F4" i="1"/>
  <c r="A7" i="1"/>
  <c r="B7" i="1" s="1"/>
  <c r="E7" i="1" s="1"/>
  <c r="F98" i="1"/>
  <c r="F97" i="1" s="1"/>
  <c r="F26" i="1"/>
  <c r="F27" i="1" s="1"/>
  <c r="F1" i="1"/>
  <c r="S31" i="1"/>
  <c r="F55" i="1" l="1"/>
  <c r="H55" i="1" s="1"/>
  <c r="K62" i="1" s="1"/>
  <c r="K63" i="1" s="1"/>
  <c r="F99" i="1"/>
  <c r="C31" i="1"/>
  <c r="F31" i="1" s="1"/>
  <c r="D31" i="1"/>
  <c r="B31" i="1"/>
  <c r="E31" i="1" s="1"/>
  <c r="F49" i="1"/>
  <c r="C7" i="1"/>
  <c r="F7" i="1" s="1"/>
  <c r="D7" i="1"/>
  <c r="D79" i="1"/>
  <c r="C79" i="1"/>
  <c r="F79" i="1" s="1"/>
  <c r="I55" i="1"/>
  <c r="S42" i="1"/>
  <c r="S45" i="1" s="1"/>
  <c r="S41" i="1"/>
  <c r="S44" i="1" s="1"/>
  <c r="S40" i="1"/>
  <c r="S43" i="1" s="1"/>
  <c r="S46" i="1" s="1"/>
  <c r="F25" i="1"/>
  <c r="S33" i="1"/>
  <c r="C103" i="1"/>
  <c r="F103" i="1" s="1"/>
  <c r="B103" i="1"/>
  <c r="E103" i="1" s="1"/>
  <c r="I7" i="1" l="1"/>
  <c r="K11" i="1" s="1"/>
  <c r="G7" i="1"/>
  <c r="E16" i="1" s="1"/>
  <c r="G55" i="1"/>
  <c r="G79" i="1"/>
  <c r="F88" i="1" s="1"/>
  <c r="C62" i="1"/>
  <c r="C63" i="1" s="1"/>
  <c r="G62" i="1"/>
  <c r="G63" i="1" s="1"/>
  <c r="D62" i="1"/>
  <c r="D63" i="1" s="1"/>
  <c r="J62" i="1"/>
  <c r="J63" i="1" s="1"/>
  <c r="F62" i="1"/>
  <c r="F63" i="1" s="1"/>
  <c r="H62" i="1"/>
  <c r="H63" i="1" s="1"/>
  <c r="L62" i="1"/>
  <c r="L63" i="1" s="1"/>
  <c r="E62" i="1"/>
  <c r="E63" i="1" s="1"/>
  <c r="B62" i="1"/>
  <c r="B63" i="1" s="1"/>
  <c r="I62" i="1"/>
  <c r="I63" i="1" s="1"/>
  <c r="H31" i="1"/>
  <c r="G38" i="1" s="1"/>
  <c r="G39" i="1" s="1"/>
  <c r="I31" i="1"/>
  <c r="I35" i="1" s="1"/>
  <c r="H79" i="1"/>
  <c r="S47" i="1"/>
  <c r="H16" i="1"/>
  <c r="C16" i="1"/>
  <c r="B16" i="1"/>
  <c r="S48" i="1"/>
  <c r="H7" i="1"/>
  <c r="H59" i="1"/>
  <c r="L59" i="1"/>
  <c r="G59" i="1"/>
  <c r="C59" i="1"/>
  <c r="K59" i="1"/>
  <c r="F59" i="1"/>
  <c r="B59" i="1"/>
  <c r="J59" i="1"/>
  <c r="I59" i="1"/>
  <c r="D59" i="1"/>
  <c r="E59" i="1"/>
  <c r="I79" i="1"/>
  <c r="G31" i="1"/>
  <c r="S66" i="1"/>
  <c r="S51" i="1"/>
  <c r="L64" i="1"/>
  <c r="K64" i="1"/>
  <c r="C64" i="1"/>
  <c r="G64" i="1"/>
  <c r="B64" i="1"/>
  <c r="J64" i="1"/>
  <c r="F64" i="1"/>
  <c r="I64" i="1"/>
  <c r="E64" i="1"/>
  <c r="D64" i="1"/>
  <c r="H64" i="1"/>
  <c r="G88" i="1"/>
  <c r="G103" i="1"/>
  <c r="H103" i="1"/>
  <c r="I103" i="1"/>
  <c r="I16" i="1" l="1"/>
  <c r="L16" i="1"/>
  <c r="F16" i="1"/>
  <c r="J16" i="1"/>
  <c r="D16" i="1"/>
  <c r="K16" i="1"/>
  <c r="G16" i="1"/>
  <c r="H11" i="1"/>
  <c r="E11" i="1"/>
  <c r="L11" i="1"/>
  <c r="B11" i="1"/>
  <c r="B12" i="1" s="1"/>
  <c r="I11" i="1"/>
  <c r="I12" i="1" s="1"/>
  <c r="G11" i="1"/>
  <c r="F11" i="1"/>
  <c r="F12" i="1" s="1"/>
  <c r="J11" i="1"/>
  <c r="J12" i="1" s="1"/>
  <c r="C11" i="1"/>
  <c r="D11" i="1"/>
  <c r="D12" i="1" s="1"/>
  <c r="C88" i="1"/>
  <c r="K88" i="1"/>
  <c r="E88" i="1"/>
  <c r="I88" i="1"/>
  <c r="H88" i="1"/>
  <c r="J88" i="1"/>
  <c r="B88" i="1"/>
  <c r="L88" i="1"/>
  <c r="D88" i="1"/>
  <c r="F38" i="1"/>
  <c r="F39" i="1" s="1"/>
  <c r="K38" i="1"/>
  <c r="K39" i="1" s="1"/>
  <c r="I38" i="1"/>
  <c r="I39" i="1" s="1"/>
  <c r="J38" i="1"/>
  <c r="J39" i="1" s="1"/>
  <c r="D38" i="1"/>
  <c r="D39" i="1" s="1"/>
  <c r="E38" i="1"/>
  <c r="E39" i="1" s="1"/>
  <c r="B38" i="1"/>
  <c r="B39" i="1" s="1"/>
  <c r="L38" i="1"/>
  <c r="L39" i="1" s="1"/>
  <c r="H38" i="1"/>
  <c r="H39" i="1" s="1"/>
  <c r="L35" i="1"/>
  <c r="L36" i="1" s="1"/>
  <c r="C38" i="1"/>
  <c r="C39" i="1" s="1"/>
  <c r="K35" i="1"/>
  <c r="K36" i="1" s="1"/>
  <c r="J35" i="1"/>
  <c r="J36" i="1" s="1"/>
  <c r="F35" i="1"/>
  <c r="F36" i="1" s="1"/>
  <c r="D35" i="1"/>
  <c r="D36" i="1" s="1"/>
  <c r="C35" i="1"/>
  <c r="C36" i="1" s="1"/>
  <c r="E35" i="1"/>
  <c r="E36" i="1" s="1"/>
  <c r="G35" i="1"/>
  <c r="G36" i="1" s="1"/>
  <c r="B35" i="1"/>
  <c r="B36" i="1" s="1"/>
  <c r="H35" i="1"/>
  <c r="H36" i="1"/>
  <c r="H12" i="1"/>
  <c r="E12" i="1"/>
  <c r="K60" i="1"/>
  <c r="K65" i="1" s="1"/>
  <c r="C60" i="1"/>
  <c r="C65" i="1" s="1"/>
  <c r="S67" i="1"/>
  <c r="L60" i="1"/>
  <c r="L65" i="1" s="1"/>
  <c r="C12" i="1"/>
  <c r="S56" i="1"/>
  <c r="S71" i="1"/>
  <c r="D60" i="1"/>
  <c r="D65" i="1" s="1"/>
  <c r="J60" i="1"/>
  <c r="J65" i="1" s="1"/>
  <c r="B60" i="1"/>
  <c r="B65" i="1" s="1"/>
  <c r="B66" i="1" s="1"/>
  <c r="B71" i="1" s="1"/>
  <c r="L12" i="1"/>
  <c r="J40" i="1"/>
  <c r="C40" i="1"/>
  <c r="G40" i="1"/>
  <c r="B40" i="1"/>
  <c r="E40" i="1"/>
  <c r="L40" i="1"/>
  <c r="H40" i="1"/>
  <c r="F40" i="1"/>
  <c r="K40" i="1"/>
  <c r="D40" i="1"/>
  <c r="I40" i="1"/>
  <c r="H60" i="1"/>
  <c r="H65" i="1" s="1"/>
  <c r="G12" i="1"/>
  <c r="G17" i="1" s="1"/>
  <c r="E60" i="1"/>
  <c r="E65" i="1" s="1"/>
  <c r="C86" i="1"/>
  <c r="C87" i="1" s="1"/>
  <c r="F86" i="1"/>
  <c r="F87" i="1" s="1"/>
  <c r="K86" i="1"/>
  <c r="K87" i="1" s="1"/>
  <c r="H86" i="1"/>
  <c r="H87" i="1" s="1"/>
  <c r="I86" i="1"/>
  <c r="I87" i="1" s="1"/>
  <c r="J86" i="1"/>
  <c r="J87" i="1" s="1"/>
  <c r="B86" i="1"/>
  <c r="B87" i="1" s="1"/>
  <c r="L86" i="1"/>
  <c r="L87" i="1" s="1"/>
  <c r="E86" i="1"/>
  <c r="E87" i="1" s="1"/>
  <c r="D86" i="1"/>
  <c r="D87" i="1" s="1"/>
  <c r="G86" i="1"/>
  <c r="G87" i="1" s="1"/>
  <c r="I60" i="1"/>
  <c r="I65" i="1" s="1"/>
  <c r="K12" i="1"/>
  <c r="F60" i="1"/>
  <c r="F65" i="1" s="1"/>
  <c r="I36" i="1"/>
  <c r="S52" i="1"/>
  <c r="G60" i="1"/>
  <c r="G65" i="1" s="1"/>
  <c r="B83" i="1"/>
  <c r="G83" i="1"/>
  <c r="H83" i="1"/>
  <c r="J83" i="1"/>
  <c r="I83" i="1"/>
  <c r="C83" i="1"/>
  <c r="D83" i="1"/>
  <c r="F83" i="1"/>
  <c r="K83" i="1"/>
  <c r="E83" i="1"/>
  <c r="L83" i="1"/>
  <c r="J14" i="1"/>
  <c r="J15" i="1" s="1"/>
  <c r="L14" i="1"/>
  <c r="L15" i="1" s="1"/>
  <c r="F14" i="1"/>
  <c r="F15" i="1" s="1"/>
  <c r="D14" i="1"/>
  <c r="D15" i="1" s="1"/>
  <c r="E14" i="1"/>
  <c r="E15" i="1" s="1"/>
  <c r="I14" i="1"/>
  <c r="I15" i="1" s="1"/>
  <c r="B14" i="1"/>
  <c r="B15" i="1" s="1"/>
  <c r="H14" i="1"/>
  <c r="H15" i="1" s="1"/>
  <c r="K14" i="1"/>
  <c r="K15" i="1" s="1"/>
  <c r="C14" i="1"/>
  <c r="C15" i="1" s="1"/>
  <c r="G14" i="1"/>
  <c r="G15" i="1" s="1"/>
  <c r="S54" i="1"/>
  <c r="S55" i="1" s="1"/>
  <c r="S69" i="1"/>
  <c r="S70" i="1" s="1"/>
  <c r="K112" i="1"/>
  <c r="G112" i="1"/>
  <c r="C112" i="1"/>
  <c r="I112" i="1"/>
  <c r="F112" i="1"/>
  <c r="D112" i="1"/>
  <c r="B112" i="1"/>
  <c r="J112" i="1"/>
  <c r="E112" i="1"/>
  <c r="H112" i="1"/>
  <c r="L112" i="1"/>
  <c r="D110" i="1"/>
  <c r="D111" i="1" s="1"/>
  <c r="E110" i="1"/>
  <c r="E111" i="1" s="1"/>
  <c r="C110" i="1"/>
  <c r="C111" i="1" s="1"/>
  <c r="H110" i="1"/>
  <c r="H111" i="1" s="1"/>
  <c r="B110" i="1"/>
  <c r="B111" i="1" s="1"/>
  <c r="K110" i="1"/>
  <c r="K111" i="1" s="1"/>
  <c r="F110" i="1"/>
  <c r="F111" i="1" s="1"/>
  <c r="J110" i="1"/>
  <c r="J111" i="1" s="1"/>
  <c r="I110" i="1"/>
  <c r="I111" i="1" s="1"/>
  <c r="G110" i="1"/>
  <c r="G111" i="1" s="1"/>
  <c r="L110" i="1"/>
  <c r="L111" i="1" s="1"/>
  <c r="L107" i="1"/>
  <c r="K107" i="1"/>
  <c r="C107" i="1"/>
  <c r="G107" i="1"/>
  <c r="E107" i="1"/>
  <c r="H107" i="1"/>
  <c r="J107" i="1"/>
  <c r="B107" i="1"/>
  <c r="F107" i="1"/>
  <c r="D107" i="1"/>
  <c r="I107" i="1"/>
  <c r="E17" i="1" l="1"/>
  <c r="B17" i="1"/>
  <c r="B18" i="1" s="1"/>
  <c r="B23" i="1" s="1"/>
  <c r="I17" i="1"/>
  <c r="F17" i="1"/>
  <c r="F19" i="1" s="1"/>
  <c r="C17" i="1"/>
  <c r="C18" i="1" s="1"/>
  <c r="E41" i="1"/>
  <c r="F41" i="1"/>
  <c r="F42" i="1" s="1"/>
  <c r="K41" i="1"/>
  <c r="K42" i="1" s="1"/>
  <c r="G41" i="1"/>
  <c r="G42" i="1" s="1"/>
  <c r="J41" i="1"/>
  <c r="J42" i="1" s="1"/>
  <c r="L41" i="1"/>
  <c r="L42" i="1" s="1"/>
  <c r="B70" i="1"/>
  <c r="R123" i="1" s="1"/>
  <c r="B84" i="1"/>
  <c r="B89" i="1" s="1"/>
  <c r="B90" i="1" s="1"/>
  <c r="B95" i="1" s="1"/>
  <c r="B94" i="1"/>
  <c r="S123" i="1" s="1"/>
  <c r="E18" i="1"/>
  <c r="E19" i="1"/>
  <c r="D67" i="1"/>
  <c r="D66" i="1"/>
  <c r="D84" i="1"/>
  <c r="D89" i="1" s="1"/>
  <c r="C84" i="1"/>
  <c r="C89" i="1" s="1"/>
  <c r="H17" i="1"/>
  <c r="J67" i="1"/>
  <c r="J66" i="1"/>
  <c r="L84" i="1"/>
  <c r="L89" i="1" s="1"/>
  <c r="H66" i="1"/>
  <c r="H67" i="1"/>
  <c r="F84" i="1"/>
  <c r="F89" i="1" s="1"/>
  <c r="I84" i="1"/>
  <c r="I89" i="1" s="1"/>
  <c r="I18" i="1"/>
  <c r="I19" i="1"/>
  <c r="C41" i="1"/>
  <c r="S57" i="1"/>
  <c r="J84" i="1"/>
  <c r="J89" i="1" s="1"/>
  <c r="I67" i="1"/>
  <c r="I66" i="1"/>
  <c r="B69" i="1"/>
  <c r="R122" i="1" s="1"/>
  <c r="D41" i="1"/>
  <c r="B22" i="1"/>
  <c r="O123" i="1" s="1"/>
  <c r="G18" i="1"/>
  <c r="G19" i="1"/>
  <c r="G22" i="1" s="1"/>
  <c r="O133" i="1" s="1"/>
  <c r="E42" i="1"/>
  <c r="L66" i="1"/>
  <c r="L67" i="1"/>
  <c r="G67" i="1"/>
  <c r="G66" i="1"/>
  <c r="K17" i="1"/>
  <c r="B41" i="1"/>
  <c r="B42" i="1" s="1"/>
  <c r="H84" i="1"/>
  <c r="H89" i="1" s="1"/>
  <c r="I41" i="1"/>
  <c r="E67" i="1"/>
  <c r="E66" i="1"/>
  <c r="E84" i="1"/>
  <c r="E89" i="1" s="1"/>
  <c r="K66" i="1"/>
  <c r="K67" i="1"/>
  <c r="K84" i="1"/>
  <c r="K89" i="1" s="1"/>
  <c r="L17" i="1"/>
  <c r="F66" i="1"/>
  <c r="F67" i="1"/>
  <c r="S72" i="1"/>
  <c r="G84" i="1"/>
  <c r="G89" i="1" s="1"/>
  <c r="D17" i="1"/>
  <c r="J17" i="1"/>
  <c r="C66" i="1"/>
  <c r="C67" i="1"/>
  <c r="C70" i="1" s="1"/>
  <c r="R125" i="1" s="1"/>
  <c r="H41" i="1"/>
  <c r="J108" i="1"/>
  <c r="J113" i="1" s="1"/>
  <c r="L108" i="1"/>
  <c r="L113" i="1" s="1"/>
  <c r="I108" i="1"/>
  <c r="I113" i="1" s="1"/>
  <c r="C108" i="1"/>
  <c r="C113" i="1" s="1"/>
  <c r="B108" i="1"/>
  <c r="B113" i="1" s="1"/>
  <c r="B114" i="1" s="1"/>
  <c r="B119" i="1" s="1"/>
  <c r="G108" i="1"/>
  <c r="G113" i="1" s="1"/>
  <c r="F108" i="1"/>
  <c r="F113" i="1" s="1"/>
  <c r="E108" i="1"/>
  <c r="E113" i="1" s="1"/>
  <c r="D108" i="1"/>
  <c r="D113" i="1" s="1"/>
  <c r="H108" i="1"/>
  <c r="H113" i="1" s="1"/>
  <c r="K108" i="1"/>
  <c r="K113" i="1" s="1"/>
  <c r="B21" i="1" l="1"/>
  <c r="O122" i="1" s="1"/>
  <c r="C19" i="1"/>
  <c r="C22" i="1" s="1"/>
  <c r="O125" i="1" s="1"/>
  <c r="F18" i="1"/>
  <c r="F21" i="1" s="1"/>
  <c r="O130" i="1" s="1"/>
  <c r="F70" i="1"/>
  <c r="R131" i="1" s="1"/>
  <c r="E22" i="1"/>
  <c r="O129" i="1" s="1"/>
  <c r="E43" i="1"/>
  <c r="E46" i="1" s="1"/>
  <c r="Q129" i="1" s="1"/>
  <c r="L43" i="1"/>
  <c r="L47" i="1" s="1"/>
  <c r="B93" i="1"/>
  <c r="S122" i="1" s="1"/>
  <c r="J70" i="1"/>
  <c r="R139" i="1" s="1"/>
  <c r="H70" i="1"/>
  <c r="R135" i="1" s="1"/>
  <c r="K43" i="1"/>
  <c r="K45" i="1" s="1"/>
  <c r="Q140" i="1" s="1"/>
  <c r="K47" i="1"/>
  <c r="S74" i="1"/>
  <c r="S73" i="1"/>
  <c r="S78" i="1" s="1"/>
  <c r="H42" i="1"/>
  <c r="H43" i="1"/>
  <c r="I90" i="1"/>
  <c r="I91" i="1"/>
  <c r="D91" i="1"/>
  <c r="D90" i="1"/>
  <c r="E70" i="1"/>
  <c r="R129" i="1" s="1"/>
  <c r="S58" i="1"/>
  <c r="S63" i="1" s="1"/>
  <c r="S59" i="1"/>
  <c r="C71" i="1"/>
  <c r="C69" i="1"/>
  <c r="R124" i="1" s="1"/>
  <c r="B47" i="1"/>
  <c r="B46" i="1"/>
  <c r="Q123" i="1" s="1"/>
  <c r="B45" i="1"/>
  <c r="Q122" i="1" s="1"/>
  <c r="D18" i="1"/>
  <c r="D19" i="1"/>
  <c r="D22" i="1" s="1"/>
  <c r="O127" i="1" s="1"/>
  <c r="K70" i="1"/>
  <c r="R141" i="1" s="1"/>
  <c r="K18" i="1"/>
  <c r="K19" i="1"/>
  <c r="I22" i="1"/>
  <c r="O137" i="1" s="1"/>
  <c r="J71" i="1"/>
  <c r="J69" i="1"/>
  <c r="R138" i="1" s="1"/>
  <c r="G43" i="1"/>
  <c r="G46" i="1" s="1"/>
  <c r="Q133" i="1" s="1"/>
  <c r="I71" i="1"/>
  <c r="I69" i="1"/>
  <c r="R136" i="1" s="1"/>
  <c r="I70" i="1"/>
  <c r="R137" i="1" s="1"/>
  <c r="J90" i="1"/>
  <c r="J91" i="1"/>
  <c r="J94" i="1" s="1"/>
  <c r="S139" i="1" s="1"/>
  <c r="D71" i="1"/>
  <c r="D69" i="1"/>
  <c r="R126" i="1" s="1"/>
  <c r="I43" i="1"/>
  <c r="I42" i="1"/>
  <c r="C43" i="1"/>
  <c r="C42" i="1"/>
  <c r="J18" i="1"/>
  <c r="J19" i="1"/>
  <c r="L71" i="1"/>
  <c r="L69" i="1"/>
  <c r="R142" i="1" s="1"/>
  <c r="E71" i="1"/>
  <c r="E69" i="1"/>
  <c r="R128" i="1" s="1"/>
  <c r="F90" i="1"/>
  <c r="F91" i="1"/>
  <c r="F94" i="1" s="1"/>
  <c r="S131" i="1" s="1"/>
  <c r="F71" i="1"/>
  <c r="F69" i="1"/>
  <c r="R130" i="1" s="1"/>
  <c r="H91" i="1"/>
  <c r="H90" i="1"/>
  <c r="G23" i="1"/>
  <c r="G21" i="1"/>
  <c r="O132" i="1" s="1"/>
  <c r="E23" i="1"/>
  <c r="E21" i="1"/>
  <c r="O128" i="1" s="1"/>
  <c r="K91" i="1"/>
  <c r="K90" i="1"/>
  <c r="L91" i="1"/>
  <c r="L90" i="1"/>
  <c r="G71" i="1"/>
  <c r="G69" i="1"/>
  <c r="R132" i="1" s="1"/>
  <c r="G91" i="1"/>
  <c r="G90" i="1"/>
  <c r="E91" i="1"/>
  <c r="E90" i="1"/>
  <c r="G70" i="1"/>
  <c r="R133" i="1" s="1"/>
  <c r="D42" i="1"/>
  <c r="D43" i="1"/>
  <c r="J43" i="1"/>
  <c r="J46" i="1" s="1"/>
  <c r="Q139" i="1" s="1"/>
  <c r="H19" i="1"/>
  <c r="H18" i="1"/>
  <c r="C90" i="1"/>
  <c r="C91" i="1"/>
  <c r="D70" i="1"/>
  <c r="R127" i="1" s="1"/>
  <c r="L19" i="1"/>
  <c r="L18" i="1"/>
  <c r="H71" i="1"/>
  <c r="H69" i="1"/>
  <c r="R134" i="1" s="1"/>
  <c r="F43" i="1"/>
  <c r="F46" i="1" s="1"/>
  <c r="Q131" i="1" s="1"/>
  <c r="K71" i="1"/>
  <c r="K69" i="1"/>
  <c r="R140" i="1" s="1"/>
  <c r="I23" i="1"/>
  <c r="I21" i="1"/>
  <c r="O136" i="1" s="1"/>
  <c r="L70" i="1"/>
  <c r="R143" i="1" s="1"/>
  <c r="J115" i="1"/>
  <c r="J114" i="1"/>
  <c r="D114" i="1"/>
  <c r="D115" i="1"/>
  <c r="F115" i="1"/>
  <c r="F114" i="1"/>
  <c r="B117" i="1"/>
  <c r="K114" i="1"/>
  <c r="K115" i="1"/>
  <c r="B118" i="1"/>
  <c r="P123" i="1" s="1"/>
  <c r="I115" i="1"/>
  <c r="I114" i="1"/>
  <c r="H114" i="1"/>
  <c r="H115" i="1"/>
  <c r="E115" i="1"/>
  <c r="E114" i="1"/>
  <c r="G114" i="1"/>
  <c r="G115" i="1"/>
  <c r="C115" i="1"/>
  <c r="C114" i="1"/>
  <c r="L114" i="1"/>
  <c r="L115" i="1"/>
  <c r="C21" i="1" l="1"/>
  <c r="O124" i="1" s="1"/>
  <c r="C23" i="1"/>
  <c r="F22" i="1"/>
  <c r="O131" i="1" s="1"/>
  <c r="K22" i="1"/>
  <c r="O141" i="1" s="1"/>
  <c r="F23" i="1"/>
  <c r="J22" i="1"/>
  <c r="O139" i="1" s="1"/>
  <c r="L45" i="1"/>
  <c r="Q142" i="1" s="1"/>
  <c r="C94" i="1"/>
  <c r="S125" i="1" s="1"/>
  <c r="E47" i="1"/>
  <c r="L46" i="1"/>
  <c r="Q143" i="1" s="1"/>
  <c r="E45" i="1"/>
  <c r="Q128" i="1" s="1"/>
  <c r="H46" i="1"/>
  <c r="Q135" i="1" s="1"/>
  <c r="G45" i="1"/>
  <c r="Q132" i="1" s="1"/>
  <c r="I94" i="1"/>
  <c r="S137" i="1" s="1"/>
  <c r="K46" i="1"/>
  <c r="Q141" i="1" s="1"/>
  <c r="D46" i="1"/>
  <c r="Q127" i="1" s="1"/>
  <c r="G95" i="1"/>
  <c r="G93" i="1"/>
  <c r="S132" i="1" s="1"/>
  <c r="G94" i="1"/>
  <c r="S133" i="1" s="1"/>
  <c r="J23" i="1"/>
  <c r="J21" i="1"/>
  <c r="O138" i="1" s="1"/>
  <c r="G47" i="1"/>
  <c r="F95" i="1"/>
  <c r="F93" i="1"/>
  <c r="S130" i="1" s="1"/>
  <c r="L23" i="1"/>
  <c r="L21" i="1"/>
  <c r="O142" i="1" s="1"/>
  <c r="L22" i="1"/>
  <c r="O143" i="1" s="1"/>
  <c r="J95" i="1"/>
  <c r="J93" i="1"/>
  <c r="S138" i="1" s="1"/>
  <c r="S62" i="1"/>
  <c r="S61" i="1"/>
  <c r="S77" i="1"/>
  <c r="S76" i="1"/>
  <c r="C95" i="1"/>
  <c r="C93" i="1"/>
  <c r="S124" i="1" s="1"/>
  <c r="L95" i="1"/>
  <c r="L93" i="1"/>
  <c r="S142" i="1" s="1"/>
  <c r="L94" i="1"/>
  <c r="S143" i="1" s="1"/>
  <c r="H47" i="1"/>
  <c r="H45" i="1"/>
  <c r="Q134" i="1" s="1"/>
  <c r="F47" i="1"/>
  <c r="J45" i="1"/>
  <c r="Q138" i="1" s="1"/>
  <c r="H95" i="1"/>
  <c r="H93" i="1"/>
  <c r="S134" i="1" s="1"/>
  <c r="D95" i="1"/>
  <c r="D93" i="1"/>
  <c r="S126" i="1" s="1"/>
  <c r="H94" i="1"/>
  <c r="S135" i="1" s="1"/>
  <c r="D94" i="1"/>
  <c r="S127" i="1" s="1"/>
  <c r="C47" i="1"/>
  <c r="C45" i="1"/>
  <c r="Q124" i="1" s="1"/>
  <c r="C46" i="1"/>
  <c r="Q125" i="1" s="1"/>
  <c r="I95" i="1"/>
  <c r="I93" i="1"/>
  <c r="S136" i="1" s="1"/>
  <c r="H23" i="1"/>
  <c r="H21" i="1"/>
  <c r="O134" i="1" s="1"/>
  <c r="I47" i="1"/>
  <c r="I45" i="1"/>
  <c r="Q136" i="1" s="1"/>
  <c r="H22" i="1"/>
  <c r="O135" i="1" s="1"/>
  <c r="I46" i="1"/>
  <c r="Q137" i="1" s="1"/>
  <c r="F45" i="1"/>
  <c r="Q130" i="1" s="1"/>
  <c r="K95" i="1"/>
  <c r="K93" i="1"/>
  <c r="S140" i="1" s="1"/>
  <c r="K94" i="1"/>
  <c r="S141" i="1" s="1"/>
  <c r="D47" i="1"/>
  <c r="D45" i="1"/>
  <c r="Q126" i="1" s="1"/>
  <c r="K23" i="1"/>
  <c r="K21" i="1"/>
  <c r="O140" i="1" s="1"/>
  <c r="E95" i="1"/>
  <c r="E93" i="1"/>
  <c r="S128" i="1" s="1"/>
  <c r="J47" i="1"/>
  <c r="E94" i="1"/>
  <c r="S129" i="1" s="1"/>
  <c r="D23" i="1"/>
  <c r="D21" i="1"/>
  <c r="O126" i="1" s="1"/>
  <c r="K118" i="1"/>
  <c r="P141" i="1" s="1"/>
  <c r="F118" i="1"/>
  <c r="P131" i="1" s="1"/>
  <c r="J118" i="1"/>
  <c r="P139" i="1" s="1"/>
  <c r="C118" i="1"/>
  <c r="P125" i="1" s="1"/>
  <c r="E118" i="1"/>
  <c r="P129" i="1" s="1"/>
  <c r="I118" i="1"/>
  <c r="P137" i="1" s="1"/>
  <c r="G119" i="1"/>
  <c r="G117" i="1"/>
  <c r="P132" i="1" s="1"/>
  <c r="H119" i="1"/>
  <c r="H117" i="1"/>
  <c r="P134" i="1" s="1"/>
  <c r="F119" i="1"/>
  <c r="F117" i="1"/>
  <c r="P130" i="1" s="1"/>
  <c r="J119" i="1"/>
  <c r="J117" i="1"/>
  <c r="P138" i="1" s="1"/>
  <c r="L118" i="1"/>
  <c r="P143" i="1" s="1"/>
  <c r="G118" i="1"/>
  <c r="P133" i="1" s="1"/>
  <c r="H118" i="1"/>
  <c r="P135" i="1" s="1"/>
  <c r="N117" i="1"/>
  <c r="P122" i="1"/>
  <c r="D119" i="1"/>
  <c r="D117" i="1"/>
  <c r="P126" i="1" s="1"/>
  <c r="L119" i="1"/>
  <c r="L117" i="1"/>
  <c r="P142" i="1" s="1"/>
  <c r="C119" i="1"/>
  <c r="C117" i="1"/>
  <c r="P124" i="1" s="1"/>
  <c r="E119" i="1"/>
  <c r="E117" i="1"/>
  <c r="P128" i="1" s="1"/>
  <c r="I119" i="1"/>
  <c r="I117" i="1"/>
  <c r="P136" i="1" s="1"/>
  <c r="K119" i="1"/>
  <c r="K117" i="1"/>
  <c r="P140" i="1" s="1"/>
  <c r="D118" i="1"/>
  <c r="P127" i="1" s="1"/>
</calcChain>
</file>

<file path=xl/sharedStrings.xml><?xml version="1.0" encoding="utf-8"?>
<sst xmlns="http://schemas.openxmlformats.org/spreadsheetml/2006/main" count="390" uniqueCount="98">
  <si>
    <t>Fuel</t>
  </si>
  <si>
    <t>Carbon / Hydrogen ratio</t>
  </si>
  <si>
    <t>Molar analysis %</t>
  </si>
  <si>
    <t>Oxygen</t>
  </si>
  <si>
    <t>Hydrogen</t>
  </si>
  <si>
    <t>Carbon</t>
  </si>
  <si>
    <t>O2</t>
  </si>
  <si>
    <t>Air ratio</t>
  </si>
  <si>
    <t>C &amp; CO2</t>
  </si>
  <si>
    <t>O2 used</t>
  </si>
  <si>
    <t>H2 &amp; H2O</t>
  </si>
  <si>
    <t>O2 in coal</t>
  </si>
  <si>
    <t>Total O2 use</t>
  </si>
  <si>
    <t>N2 mols</t>
  </si>
  <si>
    <t>O2 left over</t>
  </si>
  <si>
    <t>CO2</t>
  </si>
  <si>
    <t>N2</t>
  </si>
  <si>
    <t>Carbon mass</t>
  </si>
  <si>
    <t>Hydrogen mass</t>
  </si>
  <si>
    <t>Oxygen Percent by mass</t>
  </si>
  <si>
    <t>Fuel Mass analysis</t>
  </si>
  <si>
    <t>Fuel Molar analysis</t>
  </si>
  <si>
    <t>Molar Mass</t>
  </si>
  <si>
    <t>Molar basis C to CO2</t>
  </si>
  <si>
    <t>Molar basis H to H2O</t>
  </si>
  <si>
    <t>O2:N2 ratio in Air</t>
  </si>
  <si>
    <t>Combustion Gas volumes %</t>
  </si>
  <si>
    <t>Air Ratio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</si>
  <si>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</si>
  <si>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</si>
  <si>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</si>
  <si>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</si>
  <si>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</si>
  <si>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</si>
  <si>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</si>
  <si>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</si>
  <si>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</si>
  <si>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</si>
  <si>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</si>
  <si>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Carbon – C’</t>
  </si>
  <si>
    <t>-</t>
  </si>
  <si>
    <t>Hydrogen – H’</t>
  </si>
  <si>
    <t>Nitrogen – N’</t>
  </si>
  <si>
    <t>Sulphur – S’</t>
  </si>
  <si>
    <t>Ash</t>
  </si>
  <si>
    <t>Total</t>
  </si>
  <si>
    <t>Oxygen by difference O’</t>
  </si>
  <si>
    <t>Fuel Ultimate Analysis</t>
  </si>
  <si>
    <t>Fuel Analysis (Ultimate) by mass</t>
  </si>
  <si>
    <t>Carbon / hydrogen Ratio</t>
  </si>
  <si>
    <t>{1}/{2}</t>
  </si>
  <si>
    <t>g of Carbon</t>
  </si>
  <si>
    <t>Molar mass</t>
  </si>
  <si>
    <t>g/mol</t>
  </si>
  <si>
    <t>Air content</t>
  </si>
  <si>
    <t>Nitrogen</t>
  </si>
  <si>
    <t>%</t>
  </si>
  <si>
    <t>Fuel Mass Analysis</t>
  </si>
  <si>
    <t>Fuel Molar Analysis</t>
  </si>
  <si>
    <t>Molar Analysis %</t>
  </si>
  <si>
    <t>Oxygen content</t>
  </si>
  <si>
    <t>(1-{9})x{7}/({7}+{8})</t>
  </si>
  <si>
    <t>(1-{9})x{8}/({7}+{8})</t>
  </si>
  <si>
    <t>={9}</t>
  </si>
  <si>
    <r>
      <t>Grams 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per </t>
    </r>
  </si>
  <si>
    <t>={15}/{10}</t>
  </si>
  <si>
    <t>={17}/{12}</t>
  </si>
  <si>
    <t>={18}/({18}+{19}+{20})</t>
  </si>
  <si>
    <t>={20}/({18}+{19}+{20})</t>
  </si>
  <si>
    <t>={19}/({18}+{19}+{20})</t>
  </si>
  <si>
    <t>(range from 1.0 to 1.5)</t>
  </si>
  <si>
    <t>={21}</t>
  </si>
  <si>
    <t>={22}</t>
  </si>
  <si>
    <t>={23}</t>
  </si>
  <si>
    <t>mols</t>
  </si>
  <si>
    <t>=(28}</t>
  </si>
  <si>
    <t>={30}-{30}</t>
  </si>
  <si>
    <t>={30}x{14}/{13}</t>
  </si>
  <si>
    <t>=({26}+{28}-{29})x{24}</t>
  </si>
  <si>
    <t>={27}/2</t>
  </si>
  <si>
    <t>={25}/({25}+{31}+{32})</t>
  </si>
  <si>
    <t>={32}/({25}+{31}+{32})</t>
  </si>
  <si>
    <t>={31}/({25}+{31}+{32})</t>
  </si>
  <si>
    <t>=(37}</t>
  </si>
  <si>
    <t>={39}/2</t>
  </si>
  <si>
    <t>=({39}+{40}-{41})x{36}</t>
  </si>
  <si>
    <t>={42}x{14}/{13}</t>
  </si>
  <si>
    <t>={42}-{30}</t>
  </si>
  <si>
    <t>={37}/({37}+{42}+{43})</t>
  </si>
  <si>
    <t>={44}/({37}+{42}+{43})</t>
  </si>
  <si>
    <t>={43}/({37}+{42}+{43})</t>
  </si>
  <si>
    <t>Fuel Mass analysis %</t>
  </si>
  <si>
    <t>={16}/{11}</t>
  </si>
  <si>
    <t>see blue line on graph below</t>
  </si>
  <si>
    <t>see green line on graph below</t>
  </si>
  <si>
    <t>see orange line on graph below</t>
  </si>
  <si>
    <t>see black line on graph below</t>
  </si>
  <si>
    <t>see red line on graph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</si>
</sst>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%"/>
    <numFmt numFmtId="167" formatCode="\{##\}"/>
  </numFmts>
  <fonts count="18" x14ac:knownFonts="1"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bscript"/>
      <sz val="11"/>
      <name val="Arial"/>
      <family val="2"/>
    </font>
    <font>
      <sz val="11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3" tint="-0.249977111117893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E8E8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218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1" xfId="0" applyBorder="1"/>
    <xf numFmtId="0" fontId="4" fillId="0" borderId="0" xfId="0" applyFont="1"/>
    <xf numFmtId="2" fontId="4" fillId="0" borderId="0" xfId="0" applyNumberFormat="1" applyFont="1"/>
    <xf numFmtId="164" fontId="4" fillId="0" borderId="0" xfId="0" applyNumberFormat="1" applyFont="1"/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5" xfId="0" applyFont="1" applyBorder="1"/>
    <xf numFmtId="0" fontId="2" fillId="0" borderId="9" xfId="0" applyFont="1" applyBorder="1"/>
    <xf numFmtId="0" fontId="0" fillId="0" borderId="6" xfId="0" applyBorder="1"/>
    <xf numFmtId="0" fontId="0" fillId="0" borderId="7" xfId="0" applyBorder="1"/>
    <xf numFmtId="165" fontId="0" fillId="0" borderId="10" xfId="0" applyNumberFormat="1" applyBorder="1"/>
    <xf numFmtId="165" fontId="0" fillId="0" borderId="11" xfId="0" applyNumberFormat="1" applyBorder="1"/>
    <xf numFmtId="0" fontId="0" fillId="0" borderId="2" xfId="0" applyBorder="1"/>
    <xf numFmtId="165" fontId="0" fillId="0" borderId="3" xfId="0" applyNumberFormat="1" applyBorder="1"/>
    <xf numFmtId="165" fontId="0" fillId="0" borderId="4" xfId="0" applyNumberFormat="1" applyBorder="1"/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" xfId="0" applyFont="1" applyBorder="1"/>
    <xf numFmtId="0" fontId="4" fillId="0" borderId="2" xfId="0" applyFont="1" applyBorder="1"/>
    <xf numFmtId="2" fontId="4" fillId="0" borderId="20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165" fontId="0" fillId="3" borderId="0" xfId="0" applyNumberFormat="1" applyFill="1"/>
    <xf numFmtId="0" fontId="2" fillId="0" borderId="0" xfId="0" applyFont="1"/>
    <xf numFmtId="0" fontId="3" fillId="4" borderId="23" xfId="0" applyFont="1" applyFill="1" applyBorder="1"/>
    <xf numFmtId="0" fontId="3" fillId="4" borderId="24" xfId="0" applyFont="1" applyFill="1" applyBorder="1"/>
    <xf numFmtId="0" fontId="3" fillId="4" borderId="25" xfId="0" applyFont="1" applyFill="1" applyBorder="1"/>
    <xf numFmtId="0" fontId="3" fillId="4" borderId="5" xfId="0" applyFont="1" applyFill="1" applyBorder="1"/>
    <xf numFmtId="0" fontId="3" fillId="5" borderId="23" xfId="0" applyFont="1" applyFill="1" applyBorder="1"/>
    <xf numFmtId="0" fontId="3" fillId="5" borderId="24" xfId="0" applyFont="1" applyFill="1" applyBorder="1"/>
    <xf numFmtId="0" fontId="3" fillId="5" borderId="25" xfId="0" applyFont="1" applyFill="1" applyBorder="1"/>
    <xf numFmtId="0" fontId="3" fillId="6" borderId="23" xfId="0" applyFont="1" applyFill="1" applyBorder="1"/>
    <xf numFmtId="0" fontId="3" fillId="6" borderId="24" xfId="0" applyFont="1" applyFill="1" applyBorder="1"/>
    <xf numFmtId="0" fontId="3" fillId="6" borderId="25" xfId="0" applyFont="1" applyFill="1" applyBorder="1"/>
    <xf numFmtId="0" fontId="3" fillId="7" borderId="23" xfId="0" applyFont="1" applyFill="1" applyBorder="1"/>
    <xf numFmtId="0" fontId="3" fillId="7" borderId="24" xfId="0" applyFont="1" applyFill="1" applyBorder="1"/>
    <xf numFmtId="0" fontId="3" fillId="7" borderId="25" xfId="0" applyFont="1" applyFill="1" applyBorder="1"/>
    <xf numFmtId="0" fontId="9" fillId="8" borderId="23" xfId="0" applyFont="1" applyFill="1" applyBorder="1"/>
    <xf numFmtId="0" fontId="9" fillId="8" borderId="24" xfId="0" applyFont="1" applyFill="1" applyBorder="1"/>
    <xf numFmtId="0" fontId="9" fillId="8" borderId="25" xfId="0" applyFont="1" applyFill="1" applyBorder="1"/>
    <xf numFmtId="2" fontId="0" fillId="0" borderId="10" xfId="0" applyNumberFormat="1" applyBorder="1"/>
    <xf numFmtId="2" fontId="0" fillId="0" borderId="11" xfId="0" applyNumberFormat="1" applyBorder="1"/>
    <xf numFmtId="2" fontId="2" fillId="3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0" fillId="0" borderId="26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167" fontId="10" fillId="0" borderId="26" xfId="0" applyNumberFormat="1" applyFont="1" applyBorder="1" applyAlignment="1">
      <alignment horizontal="center" wrapText="1"/>
    </xf>
    <xf numFmtId="167" fontId="10" fillId="0" borderId="10" xfId="0" applyNumberFormat="1" applyFont="1" applyBorder="1" applyAlignment="1">
      <alignment horizontal="center" wrapText="1"/>
    </xf>
    <xf numFmtId="166" fontId="4" fillId="0" borderId="10" xfId="1" applyNumberFormat="1" applyFont="1" applyBorder="1" applyAlignment="1">
      <alignment horizontal="center" wrapText="1"/>
    </xf>
    <xf numFmtId="4" fontId="4" fillId="0" borderId="10" xfId="1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166" fontId="12" fillId="9" borderId="26" xfId="1" applyNumberFormat="1" applyFont="1" applyFill="1" applyBorder="1" applyAlignment="1">
      <alignment horizontal="center" wrapText="1"/>
    </xf>
    <xf numFmtId="166" fontId="12" fillId="9" borderId="10" xfId="1" applyNumberFormat="1" applyFont="1" applyFill="1" applyBorder="1" applyAlignment="1">
      <alignment horizontal="center" wrapText="1"/>
    </xf>
    <xf numFmtId="3" fontId="13" fillId="9" borderId="10" xfId="1" applyNumberFormat="1" applyFont="1" applyFill="1" applyBorder="1" applyAlignment="1">
      <alignment horizontal="center" wrapText="1"/>
    </xf>
    <xf numFmtId="4" fontId="13" fillId="9" borderId="10" xfId="1" applyNumberFormat="1" applyFont="1" applyFill="1" applyBorder="1" applyAlignment="1">
      <alignment horizontal="center" wrapText="1"/>
    </xf>
    <xf numFmtId="0" fontId="4" fillId="0" borderId="10" xfId="0" applyFont="1" applyBorder="1"/>
    <xf numFmtId="4" fontId="4" fillId="0" borderId="10" xfId="0" applyNumberFormat="1" applyFont="1" applyBorder="1"/>
    <xf numFmtId="0" fontId="0" fillId="0" borderId="10" xfId="0" applyBorder="1"/>
    <xf numFmtId="0" fontId="10" fillId="0" borderId="27" xfId="0" applyFont="1" applyBorder="1" applyAlignment="1">
      <alignment horizontal="center" wrapText="1"/>
    </xf>
    <xf numFmtId="166" fontId="4" fillId="0" borderId="27" xfId="1" applyNumberFormat="1" applyFont="1" applyBorder="1" applyAlignment="1">
      <alignment horizontal="center" wrapText="1"/>
    </xf>
    <xf numFmtId="0" fontId="4" fillId="0" borderId="26" xfId="0" applyFont="1" applyBorder="1"/>
    <xf numFmtId="0" fontId="4" fillId="0" borderId="28" xfId="0" applyFont="1" applyBorder="1" applyAlignment="1">
      <alignment horizontal="center"/>
    </xf>
    <xf numFmtId="4" fontId="4" fillId="0" borderId="26" xfId="1" applyNumberFormat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9" xfId="0" applyBorder="1" applyAlignment="1">
      <alignment horizontal="center"/>
    </xf>
    <xf numFmtId="167" fontId="10" fillId="0" borderId="27" xfId="0" applyNumberFormat="1" applyFont="1" applyBorder="1" applyAlignment="1">
      <alignment horizontal="center" wrapText="1"/>
    </xf>
    <xf numFmtId="0" fontId="0" fillId="0" borderId="29" xfId="0" quotePrefix="1" applyBorder="1" applyAlignment="1">
      <alignment horizontal="center"/>
    </xf>
    <xf numFmtId="3" fontId="13" fillId="9" borderId="26" xfId="1" applyNumberFormat="1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3" fontId="13" fillId="9" borderId="27" xfId="1" applyNumberFormat="1" applyFont="1" applyFill="1" applyBorder="1" applyAlignment="1">
      <alignment horizontal="center" wrapText="1"/>
    </xf>
    <xf numFmtId="4" fontId="13" fillId="9" borderId="26" xfId="1" applyNumberFormat="1" applyFont="1" applyFill="1" applyBorder="1" applyAlignment="1">
      <alignment horizontal="center" wrapText="1"/>
    </xf>
    <xf numFmtId="4" fontId="13" fillId="9" borderId="27" xfId="1" applyNumberFormat="1" applyFont="1" applyFill="1" applyBorder="1" applyAlignment="1">
      <alignment horizontal="center" wrapText="1"/>
    </xf>
    <xf numFmtId="4" fontId="4" fillId="0" borderId="27" xfId="1" applyNumberFormat="1" applyFont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31" xfId="0" applyFont="1" applyBorder="1" applyAlignment="1">
      <alignment wrapText="1"/>
    </xf>
    <xf numFmtId="0" fontId="10" fillId="0" borderId="33" xfId="0" applyFont="1" applyBorder="1" applyAlignment="1">
      <alignment wrapText="1"/>
    </xf>
    <xf numFmtId="0" fontId="11" fillId="0" borderId="34" xfId="0" applyFont="1" applyBorder="1" applyAlignment="1">
      <alignment horizontal="right" wrapText="1"/>
    </xf>
    <xf numFmtId="0" fontId="11" fillId="0" borderId="35" xfId="0" applyFont="1" applyBorder="1" applyAlignment="1">
      <alignment horizontal="right" wrapText="1"/>
    </xf>
    <xf numFmtId="0" fontId="5" fillId="0" borderId="29" xfId="0" quotePrefix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26" xfId="0" quotePrefix="1" applyFont="1" applyBorder="1" applyAlignment="1">
      <alignment horizontal="center"/>
    </xf>
    <xf numFmtId="0" fontId="5" fillId="0" borderId="10" xfId="0" quotePrefix="1" applyFont="1" applyBorder="1" applyAlignment="1">
      <alignment horizontal="center"/>
    </xf>
    <xf numFmtId="0" fontId="5" fillId="0" borderId="27" xfId="0" quotePrefix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3" fillId="0" borderId="26" xfId="0" applyFont="1" applyBorder="1"/>
    <xf numFmtId="0" fontId="4" fillId="0" borderId="10" xfId="0" quotePrefix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167" fontId="11" fillId="0" borderId="26" xfId="0" applyNumberFormat="1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4" fontId="3" fillId="0" borderId="26" xfId="1" applyNumberFormat="1" applyFont="1" applyBorder="1" applyAlignment="1">
      <alignment horizontal="center" wrapText="1"/>
    </xf>
    <xf numFmtId="165" fontId="4" fillId="0" borderId="10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4" fontId="4" fillId="0" borderId="10" xfId="1" applyNumberFormat="1" applyFont="1" applyBorder="1" applyAlignment="1" applyProtection="1">
      <alignment horizontal="center" wrapText="1"/>
      <protection locked="0"/>
    </xf>
    <xf numFmtId="10" fontId="7" fillId="2" borderId="16" xfId="0" applyNumberFormat="1" applyFont="1" applyFill="1" applyBorder="1" applyProtection="1">
      <protection locked="0"/>
    </xf>
    <xf numFmtId="10" fontId="7" fillId="2" borderId="11" xfId="0" applyNumberFormat="1" applyFont="1" applyFill="1" applyBorder="1" applyProtection="1">
      <protection locked="0"/>
    </xf>
    <xf numFmtId="10" fontId="7" fillId="2" borderId="4" xfId="0" applyNumberFormat="1" applyFont="1" applyFill="1" applyBorder="1" applyProtection="1">
      <protection locked="0"/>
    </xf>
    <xf numFmtId="2" fontId="2" fillId="0" borderId="18" xfId="0" applyNumberFormat="1" applyFont="1" applyBorder="1"/>
    <xf numFmtId="2" fontId="2" fillId="0" borderId="19" xfId="0" applyNumberFormat="1" applyFont="1" applyBorder="1"/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9" fillId="8" borderId="36" xfId="0" applyFont="1" applyFill="1" applyBorder="1" applyAlignment="1">
      <alignment horizontal="center"/>
    </xf>
    <xf numFmtId="0" fontId="9" fillId="8" borderId="37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6" borderId="36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textRotation="45"/>
    </xf>
    <xf numFmtId="0" fontId="14" fillId="2" borderId="39" xfId="0" applyFont="1" applyFill="1" applyBorder="1" applyAlignment="1">
      <alignment horizontal="center" textRotation="45"/>
    </xf>
    <xf numFmtId="0" fontId="14" fillId="2" borderId="13" xfId="0" applyFont="1" applyFill="1" applyBorder="1" applyAlignment="1">
      <alignment horizontal="center" textRotation="45"/>
    </xf>
    <xf numFmtId="0" fontId="14" fillId="2" borderId="40" xfId="0" applyFont="1" applyFill="1" applyBorder="1" applyAlignment="1">
      <alignment horizontal="center" textRotation="45"/>
    </xf>
    <xf numFmtId="0" fontId="14" fillId="2" borderId="14" xfId="0" applyFont="1" applyFill="1" applyBorder="1" applyAlignment="1">
      <alignment horizontal="center" textRotation="45"/>
    </xf>
    <xf numFmtId="0" fontId="14" fillId="2" borderId="41" xfId="0" applyFont="1" applyFill="1" applyBorder="1" applyAlignment="1">
      <alignment horizontal="center" textRotation="45"/>
    </xf>
    <xf numFmtId="0" fontId="15" fillId="10" borderId="23" xfId="0" applyFont="1" applyFill="1" applyBorder="1" applyAlignment="1">
      <alignment horizontal="center" textRotation="45"/>
    </xf>
    <xf numFmtId="0" fontId="15" fillId="10" borderId="39" xfId="0" applyFont="1" applyFill="1" applyBorder="1" applyAlignment="1">
      <alignment horizontal="center" textRotation="45"/>
    </xf>
    <xf numFmtId="0" fontId="15" fillId="10" borderId="13" xfId="0" applyFont="1" applyFill="1" applyBorder="1" applyAlignment="1">
      <alignment horizontal="center" textRotation="45"/>
    </xf>
    <xf numFmtId="0" fontId="15" fillId="10" borderId="40" xfId="0" applyFont="1" applyFill="1" applyBorder="1" applyAlignment="1">
      <alignment horizontal="center" textRotation="45"/>
    </xf>
    <xf numFmtId="0" fontId="15" fillId="10" borderId="14" xfId="0" applyFont="1" applyFill="1" applyBorder="1" applyAlignment="1">
      <alignment horizontal="center" textRotation="45"/>
    </xf>
    <xf numFmtId="0" fontId="15" fillId="10" borderId="41" xfId="0" applyFont="1" applyFill="1" applyBorder="1" applyAlignment="1">
      <alignment horizontal="center" textRotation="45"/>
    </xf>
    <xf numFmtId="0" fontId="16" fillId="11" borderId="23" xfId="0" applyFont="1" applyFill="1" applyBorder="1" applyAlignment="1">
      <alignment horizontal="center" textRotation="45"/>
    </xf>
    <xf numFmtId="0" fontId="16" fillId="11" borderId="39" xfId="0" applyFont="1" applyFill="1" applyBorder="1" applyAlignment="1">
      <alignment horizontal="center" textRotation="45"/>
    </xf>
    <xf numFmtId="0" fontId="16" fillId="11" borderId="13" xfId="0" applyFont="1" applyFill="1" applyBorder="1" applyAlignment="1">
      <alignment horizontal="center" textRotation="45"/>
    </xf>
    <xf numFmtId="0" fontId="16" fillId="11" borderId="40" xfId="0" applyFont="1" applyFill="1" applyBorder="1" applyAlignment="1">
      <alignment horizontal="center" textRotation="45"/>
    </xf>
    <xf numFmtId="0" fontId="16" fillId="11" borderId="14" xfId="0" applyFont="1" applyFill="1" applyBorder="1" applyAlignment="1">
      <alignment horizontal="center" textRotation="45"/>
    </xf>
    <xf numFmtId="0" fontId="16" fillId="11" borderId="41" xfId="0" applyFont="1" applyFill="1" applyBorder="1" applyAlignment="1">
      <alignment horizontal="center" textRotation="45"/>
    </xf>
    <xf numFmtId="0" fontId="4" fillId="0" borderId="23" xfId="0" applyFont="1" applyBorder="1" applyAlignment="1">
      <alignment horizontal="center" textRotation="45"/>
    </xf>
    <xf numFmtId="0" fontId="4" fillId="0" borderId="39" xfId="0" applyFont="1" applyBorder="1" applyAlignment="1">
      <alignment horizontal="center" textRotation="45"/>
    </xf>
    <xf numFmtId="0" fontId="4" fillId="0" borderId="13" xfId="0" applyFont="1" applyBorder="1" applyAlignment="1">
      <alignment horizontal="center" textRotation="45"/>
    </xf>
    <xf numFmtId="0" fontId="4" fillId="0" borderId="40" xfId="0" applyFont="1" applyBorder="1" applyAlignment="1">
      <alignment horizontal="center" textRotation="45"/>
    </xf>
    <xf numFmtId="0" fontId="4" fillId="0" borderId="14" xfId="0" applyFont="1" applyBorder="1" applyAlignment="1">
      <alignment horizontal="center" textRotation="45"/>
    </xf>
    <xf numFmtId="0" fontId="4" fillId="0" borderId="41" xfId="0" applyFont="1" applyBorder="1" applyAlignment="1">
      <alignment horizontal="center" textRotation="45"/>
    </xf>
    <xf numFmtId="0" fontId="17" fillId="12" borderId="23" xfId="0" applyFont="1" applyFill="1" applyBorder="1" applyAlignment="1">
      <alignment horizontal="center" textRotation="45"/>
    </xf>
    <xf numFmtId="0" fontId="17" fillId="12" borderId="39" xfId="0" applyFont="1" applyFill="1" applyBorder="1" applyAlignment="1">
      <alignment horizontal="center" textRotation="45"/>
    </xf>
    <xf numFmtId="0" fontId="17" fillId="12" borderId="13" xfId="0" applyFont="1" applyFill="1" applyBorder="1" applyAlignment="1">
      <alignment horizontal="center" textRotation="45"/>
    </xf>
    <xf numFmtId="0" fontId="17" fillId="12" borderId="40" xfId="0" applyFont="1" applyFill="1" applyBorder="1" applyAlignment="1">
      <alignment horizontal="center" textRotation="45"/>
    </xf>
    <xf numFmtId="0" fontId="17" fillId="12" borderId="14" xfId="0" applyFont="1" applyFill="1" applyBorder="1" applyAlignment="1">
      <alignment horizontal="center" textRotation="45"/>
    </xf>
    <xf numFmtId="0" fontId="17" fillId="12" borderId="41" xfId="0" applyFont="1" applyFill="1" applyBorder="1" applyAlignment="1">
      <alignment horizontal="center" textRotation="45"/>
    </xf>
    <xf numFmtId="9" fontId="7" fillId="0" borderId="17" xfId="0" applyNumberFormat="1" applyFont="1" applyFill="1" applyBorder="1" applyAlignment="1" applyProtection="1">
      <alignment horizontal="center"/>
      <protection locked="0"/>
    </xf>
    <xf numFmtId="9" fontId="7" fillId="0" borderId="11" xfId="0" applyNumberFormat="1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4" borderId="42" xfId="0" applyFont="1" applyFill="1" applyBorder="1"/>
    <xf numFmtId="0" fontId="7" fillId="0" borderId="40" xfId="0" applyFont="1" applyFill="1" applyBorder="1" applyProtection="1">
      <protection locked="0"/>
    </xf>
    <xf numFmtId="0" fontId="7" fillId="0" borderId="41" xfId="0" applyFont="1" applyFill="1" applyBorder="1" applyProtection="1">
      <protection locked="0"/>
    </xf>
    <xf numFmtId="2" fontId="3" fillId="4" borderId="7" xfId="0" applyNumberFormat="1" applyFont="1" applyFill="1" applyBorder="1"/>
    <xf numFmtId="2" fontId="4" fillId="0" borderId="11" xfId="0" applyNumberFormat="1" applyFont="1" applyBorder="1"/>
    <xf numFmtId="166" fontId="4" fillId="0" borderId="4" xfId="0" applyNumberFormat="1" applyFont="1" applyBorder="1"/>
    <xf numFmtId="0" fontId="10" fillId="0" borderId="30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3" fillId="5" borderId="42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2" fontId="3" fillId="5" borderId="7" xfId="0" applyNumberFormat="1" applyFont="1" applyFill="1" applyBorder="1"/>
    <xf numFmtId="0" fontId="4" fillId="0" borderId="3" xfId="0" applyFont="1" applyBorder="1"/>
    <xf numFmtId="0" fontId="3" fillId="6" borderId="42" xfId="0" applyFont="1" applyFill="1" applyBorder="1"/>
    <xf numFmtId="0" fontId="3" fillId="6" borderId="5" xfId="0" applyFont="1" applyFill="1" applyBorder="1"/>
    <xf numFmtId="0" fontId="3" fillId="6" borderId="6" xfId="0" applyFont="1" applyFill="1" applyBorder="1"/>
    <xf numFmtId="2" fontId="3" fillId="6" borderId="7" xfId="0" applyNumberFormat="1" applyFont="1" applyFill="1" applyBorder="1"/>
    <xf numFmtId="0" fontId="9" fillId="8" borderId="42" xfId="0" applyFont="1" applyFill="1" applyBorder="1"/>
    <xf numFmtId="0" fontId="9" fillId="8" borderId="5" xfId="0" applyFont="1" applyFill="1" applyBorder="1"/>
    <xf numFmtId="0" fontId="9" fillId="8" borderId="6" xfId="0" applyFont="1" applyFill="1" applyBorder="1"/>
    <xf numFmtId="2" fontId="9" fillId="8" borderId="7" xfId="0" applyNumberFormat="1" applyFont="1" applyFill="1" applyBorder="1"/>
    <xf numFmtId="0" fontId="3" fillId="7" borderId="42" xfId="0" applyFont="1" applyFill="1" applyBorder="1"/>
    <xf numFmtId="0" fontId="3" fillId="7" borderId="5" xfId="0" applyFont="1" applyFill="1" applyBorder="1"/>
    <xf numFmtId="0" fontId="3" fillId="7" borderId="6" xfId="0" applyFont="1" applyFill="1" applyBorder="1"/>
    <xf numFmtId="2" fontId="3" fillId="7" borderId="7" xfId="0" applyNumberFormat="1" applyFont="1" applyFill="1" applyBorder="1"/>
    <xf numFmtId="2" fontId="8" fillId="0" borderId="18" xfId="0" applyNumberFormat="1" applyFont="1" applyFill="1" applyBorder="1" applyProtection="1"/>
    <xf numFmtId="0" fontId="8" fillId="0" borderId="18" xfId="0" applyFont="1" applyFill="1" applyBorder="1" applyProtection="1"/>
    <xf numFmtId="0" fontId="8" fillId="0" borderId="19" xfId="0" applyFont="1" applyFill="1" applyBorder="1" applyProtection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Combustion Triangle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3553714707594632E-2"/>
          <c:y val="7.8014703326815191E-2"/>
          <c:w val="0.88457362903986447"/>
          <c:h val="0.80404387218093254"/>
        </c:manualLayout>
      </c:layout>
      <c:scatterChart>
        <c:scatterStyle val="smoothMarker"/>
        <c:varyColors val="0"/>
        <c:ser>
          <c:idx val="0"/>
          <c:order val="0"/>
          <c:tx>
            <c:v>C=100% H=0% O=0%</c:v>
          </c:tx>
          <c:spPr>
            <a:ln w="12700"/>
          </c:spPr>
          <c:xVal>
            <c:numRef>
              <c:f>Sheet1!$B$22:$L$22</c:f>
              <c:numCache>
                <c:formatCode>0.0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1.9090909090909116</c:v>
                </c:pt>
                <c:pt idx="3">
                  <c:v>2.7391304347826062</c:v>
                </c:pt>
                <c:pt idx="4">
                  <c:v>3.4999999999999991</c:v>
                </c:pt>
                <c:pt idx="5">
                  <c:v>4.2</c:v>
                </c:pt>
                <c:pt idx="6">
                  <c:v>4.8461538461538467</c:v>
                </c:pt>
                <c:pt idx="7">
                  <c:v>5.4444444444444438</c:v>
                </c:pt>
                <c:pt idx="8">
                  <c:v>5.9999999999999991</c:v>
                </c:pt>
                <c:pt idx="9">
                  <c:v>6.5172413793103443</c:v>
                </c:pt>
                <c:pt idx="10">
                  <c:v>6.9999999999999991</c:v>
                </c:pt>
              </c:numCache>
            </c:numRef>
          </c:xVal>
          <c:yVal>
            <c:numRef>
              <c:f>Sheet1!$B$21:$L$21</c:f>
              <c:numCache>
                <c:formatCode>0.0</c:formatCode>
                <c:ptCount val="11"/>
                <c:pt idx="0">
                  <c:v>21</c:v>
                </c:pt>
                <c:pt idx="1">
                  <c:v>20</c:v>
                </c:pt>
                <c:pt idx="2">
                  <c:v>19.09090909090909</c:v>
                </c:pt>
                <c:pt idx="3">
                  <c:v>18.260869565217391</c:v>
                </c:pt>
                <c:pt idx="4">
                  <c:v>17.499999999999996</c:v>
                </c:pt>
                <c:pt idx="5">
                  <c:v>16.8</c:v>
                </c:pt>
                <c:pt idx="6">
                  <c:v>16.153846153846153</c:v>
                </c:pt>
                <c:pt idx="7">
                  <c:v>15.555555555555555</c:v>
                </c:pt>
                <c:pt idx="8">
                  <c:v>15</c:v>
                </c:pt>
                <c:pt idx="9">
                  <c:v>14.482758620689653</c:v>
                </c:pt>
                <c:pt idx="10">
                  <c:v>13.999999999999998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6F-41DB-9A48-659DAE7E0139}"/>
            </c:ext>
          </c:extLst>
        </c:ser>
        <c:ser>
          <c:idx val="1"/>
          <c:order val="1"/>
          <c:tx>
            <c:v>C=71.6% H=4.7% O=5.7%</c:v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Sheet1!$B$46:$L$46</c:f>
              <c:numCache>
                <c:formatCode>0.00</c:formatCode>
                <c:ptCount val="11"/>
                <c:pt idx="0">
                  <c:v>0</c:v>
                </c:pt>
                <c:pt idx="1">
                  <c:v>1.0303584099175664</c:v>
                </c:pt>
                <c:pt idx="2">
                  <c:v>1.9643372300768573</c:v>
                </c:pt>
                <c:pt idx="3">
                  <c:v>2.8148552506821294</c:v>
                </c:pt>
                <c:pt idx="4">
                  <c:v>3.5926211515119677</c:v>
                </c:pt>
                <c:pt idx="5">
                  <c:v>4.3065867415504906</c:v>
                </c:pt>
                <c:pt idx="6">
                  <c:v>4.9642930550780173</c:v>
                </c:pt>
                <c:pt idx="7">
                  <c:v>5.5721377336765103</c:v>
                </c:pt>
                <c:pt idx="8">
                  <c:v>6.1355838173527015</c:v>
                </c:pt>
                <c:pt idx="9">
                  <c:v>6.6593243957304464</c:v>
                </c:pt>
                <c:pt idx="10">
                  <c:v>7.1474136355236748</c:v>
                </c:pt>
              </c:numCache>
            </c:numRef>
          </c:xVal>
          <c:yVal>
            <c:numRef>
              <c:f>Sheet1!$B$45:$L$45</c:f>
              <c:numCache>
                <c:formatCode>0.0</c:formatCode>
                <c:ptCount val="11"/>
                <c:pt idx="0">
                  <c:v>18.477941613220757</c:v>
                </c:pt>
                <c:pt idx="1">
                  <c:v>17.571327206594674</c:v>
                </c:pt>
                <c:pt idx="2">
                  <c:v>16.749517391980952</c:v>
                </c:pt>
                <c:pt idx="3">
                  <c:v>16.001144900279218</c:v>
                </c:pt>
                <c:pt idx="4">
                  <c:v>15.316787142932181</c:v>
                </c:pt>
                <c:pt idx="5">
                  <c:v>14.688567405475961</c:v>
                </c:pt>
                <c:pt idx="6">
                  <c:v>14.109850316904144</c:v>
                </c:pt>
                <c:pt idx="7">
                  <c:v>13.575006579711291</c:v>
                </c:pt>
                <c:pt idx="8">
                  <c:v>13.079229254170025</c:v>
                </c:pt>
                <c:pt idx="9">
                  <c:v>12.618388881420572</c:v>
                </c:pt>
                <c:pt idx="10">
                  <c:v>12.188918192137688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6F-41DB-9A48-659DAE7E0139}"/>
            </c:ext>
          </c:extLst>
        </c:ser>
        <c:ser>
          <c:idx val="2"/>
          <c:order val="2"/>
          <c:tx>
            <c:v>C=71.6% H=4.7% O=0%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x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Sheet1!$B$70:$L$70</c:f>
              <c:numCache>
                <c:formatCode>0.00</c:formatCode>
                <c:ptCount val="11"/>
                <c:pt idx="0">
                  <c:v>0</c:v>
                </c:pt>
                <c:pt idx="1">
                  <c:v>1.0340250965250974</c:v>
                </c:pt>
                <c:pt idx="2">
                  <c:v>1.9709995728789071</c:v>
                </c:pt>
                <c:pt idx="3">
                  <c:v>2.8239743080109623</c:v>
                </c:pt>
                <c:pt idx="4">
                  <c:v>3.6037605502658221</c:v>
                </c:pt>
                <c:pt idx="5">
                  <c:v>4.3193905763987575</c:v>
                </c:pt>
                <c:pt idx="6">
                  <c:v>4.9784691421774285</c:v>
                </c:pt>
                <c:pt idx="7">
                  <c:v>5.5874447815211035</c:v>
                </c:pt>
                <c:pt idx="8">
                  <c:v>6.1518214990727982</c:v>
                </c:pt>
                <c:pt idx="9">
                  <c:v>6.6763255951988381</c:v>
                </c:pt>
                <c:pt idx="10">
                  <c:v>7.1650383393450037</c:v>
                </c:pt>
              </c:numCache>
            </c:numRef>
          </c:xVal>
          <c:yVal>
            <c:numRef>
              <c:f>Sheet1!$B$69:$L$69</c:f>
              <c:numCache>
                <c:formatCode>0.0</c:formatCode>
                <c:ptCount val="11"/>
                <c:pt idx="0">
                  <c:v>18.1728084700081</c:v>
                </c:pt>
                <c:pt idx="1">
                  <c:v>17.277992277992276</c:v>
                </c:pt>
                <c:pt idx="2">
                  <c:v>16.467160958941612</c:v>
                </c:pt>
                <c:pt idx="3">
                  <c:v>15.729020649831579</c:v>
                </c:pt>
                <c:pt idx="4">
                  <c:v>15.054215600877061</c:v>
                </c:pt>
                <c:pt idx="5">
                  <c:v>14.434929534196076</c:v>
                </c:pt>
                <c:pt idx="6">
                  <c:v>13.864581508358768</c:v>
                </c:pt>
                <c:pt idx="7">
                  <c:v>13.337591143754327</c:v>
                </c:pt>
                <c:pt idx="8">
                  <c:v>12.849195429801998</c:v>
                </c:pt>
                <c:pt idx="9">
                  <c:v>12.395304359295654</c:v>
                </c:pt>
                <c:pt idx="10">
                  <c:v>11.972386116618495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6F-41DB-9A48-659DAE7E0139}"/>
            </c:ext>
          </c:extLst>
        </c:ser>
        <c:ser>
          <c:idx val="3"/>
          <c:order val="3"/>
          <c:tx>
            <c:v>C=71.6% H=8% O=5%</c:v>
          </c:tx>
          <c:spPr>
            <a:ln w="12700">
              <a:solidFill>
                <a:srgbClr val="FF0000"/>
              </a:solidFill>
            </a:ln>
          </c:spPr>
          <c:marker>
            <c:symbol val="x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Sheet1!$B$118:$L$118</c:f>
              <c:numCache>
                <c:formatCode>0.0</c:formatCode>
                <c:ptCount val="11"/>
                <c:pt idx="0">
                  <c:v>0</c:v>
                </c:pt>
                <c:pt idx="1">
                  <c:v>1.0500963957397798</c:v>
                </c:pt>
                <c:pt idx="2">
                  <c:v>2.0001748667906929</c:v>
                </c:pt>
                <c:pt idx="3">
                  <c:v>2.8638753593436443</c:v>
                </c:pt>
                <c:pt idx="4">
                  <c:v>3.6524654656649949</c:v>
                </c:pt>
                <c:pt idx="5">
                  <c:v>4.3753347023085345</c:v>
                </c:pt>
                <c:pt idx="6">
                  <c:v>5.0403701528443392</c:v>
                </c:pt>
                <c:pt idx="7">
                  <c:v>5.6542454176823398</c:v>
                </c:pt>
                <c:pt idx="8">
                  <c:v>6.2226453484575153</c:v>
                </c:pt>
                <c:pt idx="9">
                  <c:v>6.7504426218889506</c:v>
                </c:pt>
                <c:pt idx="10">
                  <c:v>7.2418377788033865</c:v>
                </c:pt>
              </c:numCache>
            </c:numRef>
          </c:xVal>
          <c:yVal>
            <c:numRef>
              <c:f>Sheet1!$B$117:$L$117</c:f>
              <c:numCache>
                <c:formatCode>0.0</c:formatCode>
                <c:ptCount val="11"/>
                <c:pt idx="0">
                  <c:v>16.83406906715355</c:v>
                </c:pt>
                <c:pt idx="1">
                  <c:v>15.992288340817717</c:v>
                </c:pt>
                <c:pt idx="2">
                  <c:v>15.230684216965967</c:v>
                </c:pt>
                <c:pt idx="3">
                  <c:v>14.53832261006259</c:v>
                </c:pt>
                <c:pt idx="4">
                  <c:v>13.906171166467946</c:v>
                </c:pt>
                <c:pt idx="5">
                  <c:v>13.326703039983279</c:v>
                </c:pt>
                <c:pt idx="6">
                  <c:v>12.793595768248744</c:v>
                </c:pt>
                <c:pt idx="7">
                  <c:v>12.301499644110644</c:v>
                </c:pt>
                <c:pt idx="8">
                  <c:v>11.845857563518521</c:v>
                </c:pt>
                <c:pt idx="9">
                  <c:v>11.422763479975657</c:v>
                </c:pt>
                <c:pt idx="10">
                  <c:v>11.028850146129832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96F-41DB-9A48-659DAE7E0139}"/>
            </c:ext>
          </c:extLst>
        </c:ser>
        <c:ser>
          <c:idx val="4"/>
          <c:order val="4"/>
          <c:tx>
            <c:v>C=90.5% H=9.5% O=0%</c:v>
          </c:tx>
          <c:spPr>
            <a:ln w="12700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 w="12700">
                <a:solidFill>
                  <a:sysClr val="windowText" lastClr="000000"/>
                </a:solidFill>
              </a:ln>
            </c:spPr>
          </c:marker>
          <c:xVal>
            <c:numRef>
              <c:f>Sheet1!$B$94:$L$94</c:f>
              <c:numCache>
                <c:formatCode>0.0</c:formatCode>
                <c:ptCount val="11"/>
                <c:pt idx="0">
                  <c:v>0</c:v>
                </c:pt>
                <c:pt idx="1">
                  <c:v>1.0503089143865849</c:v>
                </c:pt>
                <c:pt idx="2">
                  <c:v>2.0005603810591204</c:v>
                </c:pt>
                <c:pt idx="3">
                  <c:v>2.8644022465899956</c:v>
                </c:pt>
                <c:pt idx="4">
                  <c:v>3.6531082118188785</c:v>
                </c:pt>
                <c:pt idx="5">
                  <c:v>4.376072566805588</c:v>
                </c:pt>
                <c:pt idx="6">
                  <c:v>5.0411861614497528</c:v>
                </c:pt>
                <c:pt idx="7">
                  <c:v>5.6551255940257974</c:v>
                </c:pt>
                <c:pt idx="8">
                  <c:v>6.2235781215951169</c:v>
                </c:pt>
                <c:pt idx="9">
                  <c:v>6.7514183652027731</c:v>
                </c:pt>
                <c:pt idx="10">
                  <c:v>7.2428484479610482</c:v>
                </c:pt>
              </c:numCache>
            </c:numRef>
          </c:xVal>
          <c:yVal>
            <c:numRef>
              <c:f>Sheet1!$B$93:$L$93</c:f>
              <c:numCache>
                <c:formatCode>0.0</c:formatCode>
                <c:ptCount val="11"/>
                <c:pt idx="0">
                  <c:v>16.816351811706408</c:v>
                </c:pt>
                <c:pt idx="1">
                  <c:v>15.975286849073257</c:v>
                </c:pt>
                <c:pt idx="2">
                  <c:v>15.214345755113474</c:v>
                </c:pt>
                <c:pt idx="3">
                  <c:v>14.522599625568333</c:v>
                </c:pt>
                <c:pt idx="4">
                  <c:v>13.891020721412126</c:v>
                </c:pt>
                <c:pt idx="5">
                  <c:v>13.3120862956607</c:v>
                </c:pt>
                <c:pt idx="6">
                  <c:v>12.779477524123326</c:v>
                </c:pt>
                <c:pt idx="7">
                  <c:v>12.28784792939579</c:v>
                </c:pt>
                <c:pt idx="8">
                  <c:v>11.832643277402486</c:v>
                </c:pt>
                <c:pt idx="9">
                  <c:v>11.409960075646145</c:v>
                </c:pt>
                <c:pt idx="10">
                  <c:v>11.016433353621425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96F-41DB-9A48-659DAE7E0139}"/>
            </c:ext>
          </c:extLst>
        </c:ser>
        <c:ser>
          <c:idx val="5"/>
          <c:order val="5"/>
          <c:tx>
            <c:v>Air Ratio = 1.05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Sheet1!$O$125:$S$125</c:f>
              <c:numCache>
                <c:formatCode>0.0</c:formatCode>
                <c:ptCount val="5"/>
                <c:pt idx="0">
                  <c:v>1</c:v>
                </c:pt>
                <c:pt idx="1">
                  <c:v>1.0500963957397798</c:v>
                </c:pt>
                <c:pt idx="2">
                  <c:v>1.0303584099175664</c:v>
                </c:pt>
                <c:pt idx="3">
                  <c:v>1.0340250965250974</c:v>
                </c:pt>
                <c:pt idx="4">
                  <c:v>1.0503089143865849</c:v>
                </c:pt>
              </c:numCache>
            </c:numRef>
          </c:xVal>
          <c:yVal>
            <c:numRef>
              <c:f>Sheet1!$O$124:$S$124</c:f>
              <c:numCache>
                <c:formatCode>0.0</c:formatCode>
                <c:ptCount val="5"/>
                <c:pt idx="0">
                  <c:v>20</c:v>
                </c:pt>
                <c:pt idx="1">
                  <c:v>15.992288340817717</c:v>
                </c:pt>
                <c:pt idx="2">
                  <c:v>17.571327206594674</c:v>
                </c:pt>
                <c:pt idx="3">
                  <c:v>17.277992277992276</c:v>
                </c:pt>
                <c:pt idx="4">
                  <c:v>15.975286849073257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96F-41DB-9A48-659DAE7E0139}"/>
            </c:ext>
          </c:extLst>
        </c:ser>
        <c:ser>
          <c:idx val="7"/>
          <c:order val="6"/>
          <c:tx>
            <c:v>Air Ratio = 1.35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Sheet1!$O$137:$S$137</c:f>
              <c:numCache>
                <c:formatCode>0.0</c:formatCode>
                <c:ptCount val="5"/>
                <c:pt idx="0">
                  <c:v>5.4444444444444438</c:v>
                </c:pt>
                <c:pt idx="1">
                  <c:v>5.6542454176823398</c:v>
                </c:pt>
                <c:pt idx="2">
                  <c:v>5.5721377336765103</c:v>
                </c:pt>
                <c:pt idx="3">
                  <c:v>5.5874447815211035</c:v>
                </c:pt>
                <c:pt idx="4">
                  <c:v>5.6551255940257974</c:v>
                </c:pt>
              </c:numCache>
            </c:numRef>
          </c:xVal>
          <c:yVal>
            <c:numRef>
              <c:f>Sheet1!$O$136:$S$136</c:f>
              <c:numCache>
                <c:formatCode>0.0</c:formatCode>
                <c:ptCount val="5"/>
                <c:pt idx="0">
                  <c:v>15.555555555555555</c:v>
                </c:pt>
                <c:pt idx="1">
                  <c:v>12.301499644110644</c:v>
                </c:pt>
                <c:pt idx="2">
                  <c:v>13.575006579711291</c:v>
                </c:pt>
                <c:pt idx="3">
                  <c:v>13.337591143754327</c:v>
                </c:pt>
                <c:pt idx="4">
                  <c:v>12.28784792939579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96F-41DB-9A48-659DAE7E0139}"/>
            </c:ext>
          </c:extLst>
        </c:ser>
        <c:ser>
          <c:idx val="8"/>
          <c:order val="7"/>
          <c:tx>
            <c:v>Air Ratio = 1.50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Sheet1!$O$143:$S$143</c:f>
              <c:numCache>
                <c:formatCode>0.0</c:formatCode>
                <c:ptCount val="5"/>
                <c:pt idx="0">
                  <c:v>6.9999999999999991</c:v>
                </c:pt>
                <c:pt idx="1">
                  <c:v>7.2418377788033865</c:v>
                </c:pt>
                <c:pt idx="2">
                  <c:v>7.1474136355236748</c:v>
                </c:pt>
                <c:pt idx="3">
                  <c:v>7.1650383393450037</c:v>
                </c:pt>
                <c:pt idx="4">
                  <c:v>7.2428484479610482</c:v>
                </c:pt>
              </c:numCache>
            </c:numRef>
          </c:xVal>
          <c:yVal>
            <c:numRef>
              <c:f>Sheet1!$O$142:$S$142</c:f>
              <c:numCache>
                <c:formatCode>0.0</c:formatCode>
                <c:ptCount val="5"/>
                <c:pt idx="0">
                  <c:v>13.999999999999998</c:v>
                </c:pt>
                <c:pt idx="1">
                  <c:v>11.028850146129832</c:v>
                </c:pt>
                <c:pt idx="2">
                  <c:v>12.188918192137688</c:v>
                </c:pt>
                <c:pt idx="3">
                  <c:v>11.972386116618495</c:v>
                </c:pt>
                <c:pt idx="4">
                  <c:v>11.016433353621425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96F-41DB-9A48-659DAE7E0139}"/>
            </c:ext>
          </c:extLst>
        </c:ser>
        <c:ser>
          <c:idx val="9"/>
          <c:order val="8"/>
          <c:tx>
            <c:v>Air Ratio = 1.00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Sheet1!$O$123:$S$123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Sheet1!$O$122:$S$122</c:f>
              <c:numCache>
                <c:formatCode>0.0</c:formatCode>
                <c:ptCount val="5"/>
                <c:pt idx="0">
                  <c:v>21</c:v>
                </c:pt>
                <c:pt idx="1">
                  <c:v>16.83406906715355</c:v>
                </c:pt>
                <c:pt idx="2">
                  <c:v>18.477941613220757</c:v>
                </c:pt>
                <c:pt idx="3">
                  <c:v>18.1728084700081</c:v>
                </c:pt>
                <c:pt idx="4">
                  <c:v>16.816351811706408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96F-41DB-9A48-659DAE7E0139}"/>
            </c:ext>
          </c:extLst>
        </c:ser>
        <c:ser>
          <c:idx val="11"/>
          <c:order val="9"/>
          <c:tx>
            <c:v>Air Ratio = 1.45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Sheet1!$O$141:$S$141</c:f>
              <c:numCache>
                <c:formatCode>0.0</c:formatCode>
                <c:ptCount val="5"/>
                <c:pt idx="0">
                  <c:v>6.5172413793103443</c:v>
                </c:pt>
                <c:pt idx="1">
                  <c:v>6.7504426218889506</c:v>
                </c:pt>
                <c:pt idx="2">
                  <c:v>6.6593243957304464</c:v>
                </c:pt>
                <c:pt idx="3">
                  <c:v>6.6763255951988381</c:v>
                </c:pt>
                <c:pt idx="4">
                  <c:v>6.7514183652027731</c:v>
                </c:pt>
              </c:numCache>
            </c:numRef>
          </c:xVal>
          <c:yVal>
            <c:numRef>
              <c:f>Sheet1!$O$140:$S$140</c:f>
              <c:numCache>
                <c:formatCode>0.0</c:formatCode>
                <c:ptCount val="5"/>
                <c:pt idx="0">
                  <c:v>14.482758620689653</c:v>
                </c:pt>
                <c:pt idx="1">
                  <c:v>11.422763479975657</c:v>
                </c:pt>
                <c:pt idx="2">
                  <c:v>12.618388881420572</c:v>
                </c:pt>
                <c:pt idx="3">
                  <c:v>12.395304359295654</c:v>
                </c:pt>
                <c:pt idx="4">
                  <c:v>11.409960075646145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96F-41DB-9A48-659DAE7E0139}"/>
            </c:ext>
          </c:extLst>
        </c:ser>
        <c:ser>
          <c:idx val="12"/>
          <c:order val="10"/>
          <c:tx>
            <c:v>Air Ratio = 1.40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Sheet1!$O$139:$S$139</c:f>
              <c:numCache>
                <c:formatCode>0.0</c:formatCode>
                <c:ptCount val="5"/>
                <c:pt idx="0">
                  <c:v>5.9999999999999991</c:v>
                </c:pt>
                <c:pt idx="1">
                  <c:v>6.2226453484575153</c:v>
                </c:pt>
                <c:pt idx="2">
                  <c:v>6.1355838173527015</c:v>
                </c:pt>
                <c:pt idx="3">
                  <c:v>6.1518214990727982</c:v>
                </c:pt>
                <c:pt idx="4">
                  <c:v>6.2235781215951169</c:v>
                </c:pt>
              </c:numCache>
            </c:numRef>
          </c:xVal>
          <c:yVal>
            <c:numRef>
              <c:f>Sheet1!$O$138:$S$138</c:f>
              <c:numCache>
                <c:formatCode>0.0</c:formatCode>
                <c:ptCount val="5"/>
                <c:pt idx="0">
                  <c:v>15</c:v>
                </c:pt>
                <c:pt idx="1">
                  <c:v>11.845857563518521</c:v>
                </c:pt>
                <c:pt idx="2">
                  <c:v>13.079229254170025</c:v>
                </c:pt>
                <c:pt idx="3">
                  <c:v>12.849195429801998</c:v>
                </c:pt>
                <c:pt idx="4">
                  <c:v>11.832643277402486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96F-41DB-9A48-659DAE7E0139}"/>
            </c:ext>
          </c:extLst>
        </c:ser>
        <c:ser>
          <c:idx val="13"/>
          <c:order val="11"/>
          <c:tx>
            <c:v>Air Ratio = 1.25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Sheet1!$O$133:$S$133</c:f>
              <c:numCache>
                <c:formatCode>0.0</c:formatCode>
                <c:ptCount val="5"/>
                <c:pt idx="0">
                  <c:v>4.2</c:v>
                </c:pt>
                <c:pt idx="1">
                  <c:v>4.3753347023085345</c:v>
                </c:pt>
                <c:pt idx="2">
                  <c:v>4.3065867415504906</c:v>
                </c:pt>
                <c:pt idx="3">
                  <c:v>4.3193905763987575</c:v>
                </c:pt>
                <c:pt idx="4">
                  <c:v>4.376072566805588</c:v>
                </c:pt>
              </c:numCache>
            </c:numRef>
          </c:xVal>
          <c:yVal>
            <c:numRef>
              <c:f>Sheet1!$O$132:$S$132</c:f>
              <c:numCache>
                <c:formatCode>0.0</c:formatCode>
                <c:ptCount val="5"/>
                <c:pt idx="0">
                  <c:v>16.8</c:v>
                </c:pt>
                <c:pt idx="1">
                  <c:v>13.326703039983279</c:v>
                </c:pt>
                <c:pt idx="2">
                  <c:v>14.688567405475961</c:v>
                </c:pt>
                <c:pt idx="3">
                  <c:v>14.434929534196076</c:v>
                </c:pt>
                <c:pt idx="4">
                  <c:v>13.3120862956607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96F-41DB-9A48-659DAE7E0139}"/>
            </c:ext>
          </c:extLst>
        </c:ser>
        <c:ser>
          <c:idx val="6"/>
          <c:order val="12"/>
          <c:tx>
            <c:v>Air Ratio = 1.20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Sheet1!$O$131:$S$131</c:f>
              <c:numCache>
                <c:formatCode>0.0</c:formatCode>
                <c:ptCount val="5"/>
                <c:pt idx="0">
                  <c:v>3.4999999999999991</c:v>
                </c:pt>
                <c:pt idx="1">
                  <c:v>3.6524654656649949</c:v>
                </c:pt>
                <c:pt idx="2">
                  <c:v>3.5926211515119677</c:v>
                </c:pt>
                <c:pt idx="3">
                  <c:v>3.6037605502658221</c:v>
                </c:pt>
                <c:pt idx="4">
                  <c:v>3.6531082118188785</c:v>
                </c:pt>
              </c:numCache>
            </c:numRef>
          </c:xVal>
          <c:yVal>
            <c:numRef>
              <c:f>Sheet1!$O$130:$S$130</c:f>
              <c:numCache>
                <c:formatCode>0.0</c:formatCode>
                <c:ptCount val="5"/>
                <c:pt idx="0">
                  <c:v>17.499999999999996</c:v>
                </c:pt>
                <c:pt idx="1">
                  <c:v>13.906171166467946</c:v>
                </c:pt>
                <c:pt idx="2">
                  <c:v>15.316787142932181</c:v>
                </c:pt>
                <c:pt idx="3">
                  <c:v>15.054215600877061</c:v>
                </c:pt>
                <c:pt idx="4">
                  <c:v>13.891020721412126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596F-41DB-9A48-659DAE7E0139}"/>
            </c:ext>
          </c:extLst>
        </c:ser>
        <c:ser>
          <c:idx val="10"/>
          <c:order val="13"/>
          <c:tx>
            <c:v>Air Ratio = 1.30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Sheet1!$O$135:$S$135</c:f>
              <c:numCache>
                <c:formatCode>0.0</c:formatCode>
                <c:ptCount val="5"/>
                <c:pt idx="0">
                  <c:v>4.8461538461538467</c:v>
                </c:pt>
                <c:pt idx="1">
                  <c:v>5.0403701528443392</c:v>
                </c:pt>
                <c:pt idx="2">
                  <c:v>4.9642930550780173</c:v>
                </c:pt>
                <c:pt idx="3">
                  <c:v>4.9784691421774285</c:v>
                </c:pt>
                <c:pt idx="4">
                  <c:v>5.0411861614497528</c:v>
                </c:pt>
              </c:numCache>
            </c:numRef>
          </c:xVal>
          <c:yVal>
            <c:numRef>
              <c:f>Sheet1!$O$134:$S$134</c:f>
              <c:numCache>
                <c:formatCode>0.0</c:formatCode>
                <c:ptCount val="5"/>
                <c:pt idx="0">
                  <c:v>16.153846153846153</c:v>
                </c:pt>
                <c:pt idx="1">
                  <c:v>12.793595768248744</c:v>
                </c:pt>
                <c:pt idx="2">
                  <c:v>14.109850316904144</c:v>
                </c:pt>
                <c:pt idx="3">
                  <c:v>13.864581508358768</c:v>
                </c:pt>
                <c:pt idx="4">
                  <c:v>12.779477524123326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596F-41DB-9A48-659DAE7E0139}"/>
            </c:ext>
          </c:extLst>
        </c:ser>
        <c:ser>
          <c:idx val="14"/>
          <c:order val="14"/>
          <c:tx>
            <c:v>Air Ratio = 1.15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Sheet1!$O$129:$S$129</c:f>
              <c:numCache>
                <c:formatCode>0.0</c:formatCode>
                <c:ptCount val="5"/>
                <c:pt idx="0">
                  <c:v>2.7391304347826062</c:v>
                </c:pt>
                <c:pt idx="1">
                  <c:v>2.8638753593436443</c:v>
                </c:pt>
                <c:pt idx="2">
                  <c:v>2.8148552506821294</c:v>
                </c:pt>
                <c:pt idx="3">
                  <c:v>2.8239743080109623</c:v>
                </c:pt>
                <c:pt idx="4">
                  <c:v>2.8644022465899956</c:v>
                </c:pt>
              </c:numCache>
            </c:numRef>
          </c:xVal>
          <c:yVal>
            <c:numRef>
              <c:f>Sheet1!$O$128:$S$128</c:f>
              <c:numCache>
                <c:formatCode>0.0</c:formatCode>
                <c:ptCount val="5"/>
                <c:pt idx="0">
                  <c:v>18.260869565217391</c:v>
                </c:pt>
                <c:pt idx="1">
                  <c:v>14.53832261006259</c:v>
                </c:pt>
                <c:pt idx="2">
                  <c:v>16.001144900279218</c:v>
                </c:pt>
                <c:pt idx="3">
                  <c:v>15.729020649831579</c:v>
                </c:pt>
                <c:pt idx="4">
                  <c:v>14.522599625568333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596F-41DB-9A48-659DAE7E0139}"/>
            </c:ext>
          </c:extLst>
        </c:ser>
        <c:ser>
          <c:idx val="15"/>
          <c:order val="15"/>
          <c:tx>
            <c:v>Air Ratio = 1.10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Sheet1!$O$127:$S$127</c:f>
              <c:numCache>
                <c:formatCode>0.0</c:formatCode>
                <c:ptCount val="5"/>
                <c:pt idx="0">
                  <c:v>1.9090909090909116</c:v>
                </c:pt>
                <c:pt idx="1">
                  <c:v>2.0001748667906929</c:v>
                </c:pt>
                <c:pt idx="2">
                  <c:v>1.9643372300768573</c:v>
                </c:pt>
                <c:pt idx="3">
                  <c:v>1.9709995728789071</c:v>
                </c:pt>
                <c:pt idx="4">
                  <c:v>2.0005603810591204</c:v>
                </c:pt>
              </c:numCache>
            </c:numRef>
          </c:xVal>
          <c:yVal>
            <c:numRef>
              <c:f>Sheet1!$O$126:$S$126</c:f>
              <c:numCache>
                <c:formatCode>0.0</c:formatCode>
                <c:ptCount val="5"/>
                <c:pt idx="0">
                  <c:v>19.09090909090909</c:v>
                </c:pt>
                <c:pt idx="1">
                  <c:v>15.230684216965967</c:v>
                </c:pt>
                <c:pt idx="2">
                  <c:v>16.749517391980952</c:v>
                </c:pt>
                <c:pt idx="3">
                  <c:v>16.467160958941612</c:v>
                </c:pt>
                <c:pt idx="4">
                  <c:v>15.214345755113474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596F-41DB-9A48-659DAE7E0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48896"/>
        <c:axId val="58479744"/>
      </c:scatterChart>
      <c:valAx>
        <c:axId val="58448896"/>
        <c:scaling>
          <c:orientation val="minMax"/>
          <c:max val="8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>
          <c:spPr>
            <a:ln>
              <a:solidFill>
                <a:schemeClr val="bg2">
                  <a:lumMod val="9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Oxygen Content % by vol.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79744"/>
        <c:crosses val="autoZero"/>
        <c:crossBetween val="midCat"/>
      </c:valAx>
      <c:valAx>
        <c:axId val="58479744"/>
        <c:scaling>
          <c:orientation val="minMax"/>
          <c:min val="10"/>
        </c:scaling>
        <c:delete val="0"/>
        <c:axPos val="l"/>
        <c:majorGridlines/>
        <c:minorGridlines>
          <c:spPr>
            <a:ln>
              <a:solidFill>
                <a:schemeClr val="bg2">
                  <a:lumMod val="9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Carbon Dioxide Content % by vol.</a:t>
                </a:r>
              </a:p>
            </c:rich>
          </c:tx>
          <c:layout>
            <c:manualLayout>
              <c:xMode val="edge"/>
              <c:yMode val="edge"/>
              <c:x val="1.1277958284954157E-3"/>
              <c:y val="0.2790703021626428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48896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73704247935550804"/>
          <c:y val="0.10824428971171993"/>
          <c:w val="0.21834785521698263"/>
          <c:h val="0.249075941953536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120</xdr:row>
      <xdr:rowOff>114300</xdr:rowOff>
    </xdr:from>
    <xdr:to>
      <xdr:col>9</xdr:col>
      <xdr:colOff>180975</xdr:colOff>
      <xdr:row>143</xdr:row>
      <xdr:rowOff>123825</xdr:rowOff>
    </xdr:to>
    <xdr:graphicFrame macro="">
      <xdr:nvGraphicFramePr>
        <xdr:cNvPr id="1231" name="Chart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3"/>
  <sheetViews>
    <sheetView tabSelected="1" topLeftCell="A98" zoomScale="85" zoomScaleNormal="85" workbookViewId="0">
      <selection activeCell="C27" sqref="C27"/>
    </sheetView>
  </sheetViews>
  <sheetFormatPr defaultColWidth="9.6640625" defaultRowHeight="15" x14ac:dyDescent="0.2"/>
  <cols>
    <col min="1" max="1" width="12.33203125" customWidth="1"/>
    <col min="10" max="12" width="9.6640625" customWidth="1"/>
    <col min="13" max="13" width="4.33203125" customWidth="1"/>
    <col min="14" max="14" width="10.77734375" style="66" customWidth="1"/>
    <col min="15" max="15" width="8.33203125" customWidth="1"/>
    <col min="16" max="16" width="13.88671875" customWidth="1"/>
    <col min="17" max="17" width="9.6640625" style="66"/>
  </cols>
  <sheetData>
    <row r="1" spans="1:15" ht="16.5" thickBot="1" x14ac:dyDescent="0.3">
      <c r="A1" s="39" t="s">
        <v>0</v>
      </c>
      <c r="B1" s="40" t="s">
        <v>47</v>
      </c>
      <c r="C1" s="41"/>
      <c r="D1" s="40" t="s">
        <v>1</v>
      </c>
      <c r="E1" s="42"/>
      <c r="F1" s="193">
        <f>+F2</f>
        <v>100</v>
      </c>
      <c r="G1" s="190" t="s">
        <v>22</v>
      </c>
      <c r="H1" s="146" t="s">
        <v>25</v>
      </c>
      <c r="I1" s="147"/>
      <c r="J1" s="154" t="s">
        <v>93</v>
      </c>
      <c r="K1" s="155"/>
      <c r="L1" s="5"/>
      <c r="M1" s="5"/>
      <c r="N1" s="67"/>
    </row>
    <row r="2" spans="1:15" x14ac:dyDescent="0.2">
      <c r="A2" s="29"/>
      <c r="B2" s="31" t="s">
        <v>5</v>
      </c>
      <c r="C2" s="128">
        <v>1</v>
      </c>
      <c r="D2" s="29" t="s">
        <v>17</v>
      </c>
      <c r="E2" s="32"/>
      <c r="F2" s="194">
        <v>100</v>
      </c>
      <c r="G2" s="191">
        <v>12</v>
      </c>
      <c r="H2" s="186" t="s">
        <v>6</v>
      </c>
      <c r="I2" s="184">
        <v>0.21</v>
      </c>
      <c r="J2" s="156"/>
      <c r="K2" s="157"/>
      <c r="L2" s="5"/>
      <c r="M2" s="5"/>
      <c r="N2" s="67"/>
    </row>
    <row r="3" spans="1:15" x14ac:dyDescent="0.2">
      <c r="A3" s="29"/>
      <c r="B3" s="32" t="s">
        <v>4</v>
      </c>
      <c r="C3" s="129">
        <v>0</v>
      </c>
      <c r="D3" s="29" t="s">
        <v>18</v>
      </c>
      <c r="E3" s="32"/>
      <c r="F3" s="194">
        <f>+C3</f>
        <v>0</v>
      </c>
      <c r="G3" s="191">
        <v>2</v>
      </c>
      <c r="H3" s="187" t="s">
        <v>16</v>
      </c>
      <c r="I3" s="185">
        <v>0.79</v>
      </c>
      <c r="J3" s="156"/>
      <c r="K3" s="157"/>
      <c r="L3" s="5"/>
      <c r="M3" s="5"/>
      <c r="N3" s="67"/>
    </row>
    <row r="4" spans="1:15" ht="15.75" thickBot="1" x14ac:dyDescent="0.25">
      <c r="A4" s="30"/>
      <c r="B4" s="33" t="s">
        <v>3</v>
      </c>
      <c r="C4" s="130">
        <v>0</v>
      </c>
      <c r="D4" s="30" t="s">
        <v>19</v>
      </c>
      <c r="E4" s="33"/>
      <c r="F4" s="195">
        <f>+C4</f>
        <v>0</v>
      </c>
      <c r="G4" s="192">
        <v>32</v>
      </c>
      <c r="H4" s="188"/>
      <c r="I4" s="189"/>
      <c r="J4" s="156"/>
      <c r="K4" s="157"/>
      <c r="L4" s="5"/>
      <c r="M4" s="5"/>
      <c r="N4" s="67"/>
      <c r="O4" s="1"/>
    </row>
    <row r="5" spans="1:15" ht="16.5" thickBot="1" x14ac:dyDescent="0.3">
      <c r="A5" s="142" t="s">
        <v>20</v>
      </c>
      <c r="B5" s="143"/>
      <c r="C5" s="144"/>
      <c r="D5" s="142" t="s">
        <v>21</v>
      </c>
      <c r="E5" s="143"/>
      <c r="F5" s="144"/>
      <c r="G5" s="145" t="s">
        <v>2</v>
      </c>
      <c r="H5" s="143"/>
      <c r="I5" s="144"/>
      <c r="J5" s="156"/>
      <c r="K5" s="157"/>
      <c r="L5" s="5"/>
      <c r="M5" s="5"/>
      <c r="N5" s="67"/>
      <c r="O5" s="1"/>
    </row>
    <row r="6" spans="1:15" ht="15.75" x14ac:dyDescent="0.25">
      <c r="A6" s="11" t="s">
        <v>3</v>
      </c>
      <c r="B6" s="12" t="s">
        <v>4</v>
      </c>
      <c r="C6" s="13" t="s">
        <v>5</v>
      </c>
      <c r="D6" s="11" t="s">
        <v>3</v>
      </c>
      <c r="E6" s="12" t="s">
        <v>4</v>
      </c>
      <c r="F6" s="13" t="s">
        <v>5</v>
      </c>
      <c r="G6" s="14" t="s">
        <v>3</v>
      </c>
      <c r="H6" s="12" t="s">
        <v>4</v>
      </c>
      <c r="I6" s="13" t="s">
        <v>5</v>
      </c>
      <c r="J6" s="156"/>
      <c r="K6" s="157"/>
      <c r="L6" s="5"/>
      <c r="M6" s="5"/>
      <c r="N6" s="67"/>
      <c r="O6" s="1"/>
    </row>
    <row r="7" spans="1:15" ht="15.75" thickBot="1" x14ac:dyDescent="0.25">
      <c r="A7" s="8">
        <f>F4*100</f>
        <v>0</v>
      </c>
      <c r="B7" s="9">
        <f>(100-A7)*F3/(F2+F3)</f>
        <v>0</v>
      </c>
      <c r="C7" s="10">
        <f>(100-A7)*F2/(F2+F3)</f>
        <v>100</v>
      </c>
      <c r="D7" s="8">
        <f>+A7/G4</f>
        <v>0</v>
      </c>
      <c r="E7" s="9">
        <f>+B7/G3</f>
        <v>0</v>
      </c>
      <c r="F7" s="10">
        <f>+C7/G2</f>
        <v>8.3333333333333339</v>
      </c>
      <c r="G7" s="34">
        <f>+D7/SUM($D7:$F7)*100</f>
        <v>0</v>
      </c>
      <c r="H7" s="35">
        <f>+E7/SUM($D7:$F7)*100</f>
        <v>0</v>
      </c>
      <c r="I7" s="36">
        <f>+F7/SUM($D7:$F7)*100</f>
        <v>100</v>
      </c>
      <c r="J7" s="158"/>
      <c r="K7" s="159"/>
      <c r="L7" s="5"/>
      <c r="M7" s="5"/>
      <c r="N7" s="67"/>
    </row>
    <row r="8" spans="1:15" ht="15.75" thickBot="1" x14ac:dyDescent="0.25">
      <c r="A8" s="15"/>
      <c r="B8" s="15"/>
      <c r="C8" s="15"/>
      <c r="D8" s="5"/>
      <c r="E8" s="5"/>
      <c r="F8" s="6"/>
      <c r="G8" s="6"/>
      <c r="H8" s="6"/>
      <c r="I8" s="6"/>
      <c r="J8" s="5"/>
      <c r="K8" s="5"/>
      <c r="L8" s="5"/>
      <c r="M8" s="5"/>
      <c r="N8" s="67"/>
    </row>
    <row r="9" spans="1:15" ht="16.5" thickBot="1" x14ac:dyDescent="0.3">
      <c r="A9" s="17" t="s">
        <v>7</v>
      </c>
      <c r="B9" s="215">
        <v>1</v>
      </c>
      <c r="C9" s="216">
        <v>1.05</v>
      </c>
      <c r="D9" s="216">
        <v>1.1000000000000001</v>
      </c>
      <c r="E9" s="216">
        <v>1.1499999999999999</v>
      </c>
      <c r="F9" s="216">
        <v>1.2</v>
      </c>
      <c r="G9" s="216">
        <v>1.25</v>
      </c>
      <c r="H9" s="216">
        <v>1.3</v>
      </c>
      <c r="I9" s="216">
        <v>1.35</v>
      </c>
      <c r="J9" s="216">
        <v>1.4</v>
      </c>
      <c r="K9" s="216">
        <v>1.45</v>
      </c>
      <c r="L9" s="217">
        <v>1.5</v>
      </c>
      <c r="M9" s="5"/>
      <c r="N9" s="67"/>
    </row>
    <row r="10" spans="1:15" ht="15.75" x14ac:dyDescent="0.25">
      <c r="A10" s="16" t="s">
        <v>23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9"/>
      <c r="N10" s="67"/>
    </row>
    <row r="11" spans="1:15" x14ac:dyDescent="0.2">
      <c r="A11" s="4" t="s">
        <v>8</v>
      </c>
      <c r="B11" s="20">
        <f>+$I7</f>
        <v>100</v>
      </c>
      <c r="C11" s="20">
        <f t="shared" ref="C11:L11" si="0">+$I7</f>
        <v>100</v>
      </c>
      <c r="D11" s="20">
        <f t="shared" si="0"/>
        <v>100</v>
      </c>
      <c r="E11" s="20">
        <f t="shared" si="0"/>
        <v>100</v>
      </c>
      <c r="F11" s="20">
        <f t="shared" si="0"/>
        <v>100</v>
      </c>
      <c r="G11" s="20">
        <f t="shared" si="0"/>
        <v>100</v>
      </c>
      <c r="H11" s="20">
        <f t="shared" si="0"/>
        <v>100</v>
      </c>
      <c r="I11" s="20">
        <f t="shared" si="0"/>
        <v>100</v>
      </c>
      <c r="J11" s="20">
        <f t="shared" si="0"/>
        <v>100</v>
      </c>
      <c r="K11" s="20">
        <f t="shared" si="0"/>
        <v>100</v>
      </c>
      <c r="L11" s="21">
        <f t="shared" si="0"/>
        <v>100</v>
      </c>
      <c r="M11" s="3"/>
      <c r="N11" s="67"/>
    </row>
    <row r="12" spans="1:15" ht="15.75" thickBot="1" x14ac:dyDescent="0.25">
      <c r="A12" s="4" t="s">
        <v>9</v>
      </c>
      <c r="B12" s="20">
        <f t="shared" ref="B12:L12" si="1">B11</f>
        <v>100</v>
      </c>
      <c r="C12" s="20">
        <f t="shared" si="1"/>
        <v>100</v>
      </c>
      <c r="D12" s="20">
        <f t="shared" si="1"/>
        <v>100</v>
      </c>
      <c r="E12" s="20">
        <f t="shared" si="1"/>
        <v>100</v>
      </c>
      <c r="F12" s="20">
        <f t="shared" si="1"/>
        <v>100</v>
      </c>
      <c r="G12" s="20">
        <f t="shared" si="1"/>
        <v>100</v>
      </c>
      <c r="H12" s="20">
        <f t="shared" si="1"/>
        <v>100</v>
      </c>
      <c r="I12" s="20">
        <f t="shared" si="1"/>
        <v>100</v>
      </c>
      <c r="J12" s="20">
        <f t="shared" si="1"/>
        <v>100</v>
      </c>
      <c r="K12" s="20">
        <f t="shared" si="1"/>
        <v>100</v>
      </c>
      <c r="L12" s="21">
        <f t="shared" si="1"/>
        <v>100</v>
      </c>
      <c r="M12" s="3"/>
      <c r="N12" s="67"/>
    </row>
    <row r="13" spans="1:15" ht="15.75" x14ac:dyDescent="0.25">
      <c r="A13" s="16" t="s">
        <v>24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  <c r="N13" s="67"/>
    </row>
    <row r="14" spans="1:15" x14ac:dyDescent="0.2">
      <c r="A14" s="4" t="s">
        <v>10</v>
      </c>
      <c r="B14" s="20">
        <f>+$H7</f>
        <v>0</v>
      </c>
      <c r="C14" s="20">
        <f t="shared" ref="C14:L14" si="2">+$H7</f>
        <v>0</v>
      </c>
      <c r="D14" s="20">
        <f t="shared" si="2"/>
        <v>0</v>
      </c>
      <c r="E14" s="20">
        <f t="shared" si="2"/>
        <v>0</v>
      </c>
      <c r="F14" s="20">
        <f t="shared" si="2"/>
        <v>0</v>
      </c>
      <c r="G14" s="20">
        <f t="shared" si="2"/>
        <v>0</v>
      </c>
      <c r="H14" s="20">
        <f t="shared" si="2"/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1">
        <f t="shared" si="2"/>
        <v>0</v>
      </c>
      <c r="M14" s="3"/>
      <c r="N14" s="67"/>
    </row>
    <row r="15" spans="1:15" x14ac:dyDescent="0.2">
      <c r="A15" s="4" t="s">
        <v>9</v>
      </c>
      <c r="B15" s="20">
        <f t="shared" ref="B15:L15" si="3">B14/2</f>
        <v>0</v>
      </c>
      <c r="C15" s="20">
        <f t="shared" si="3"/>
        <v>0</v>
      </c>
      <c r="D15" s="20">
        <f t="shared" si="3"/>
        <v>0</v>
      </c>
      <c r="E15" s="20">
        <f t="shared" si="3"/>
        <v>0</v>
      </c>
      <c r="F15" s="20">
        <f t="shared" si="3"/>
        <v>0</v>
      </c>
      <c r="G15" s="20">
        <f t="shared" si="3"/>
        <v>0</v>
      </c>
      <c r="H15" s="20">
        <f t="shared" si="3"/>
        <v>0</v>
      </c>
      <c r="I15" s="20">
        <f t="shared" si="3"/>
        <v>0</v>
      </c>
      <c r="J15" s="20">
        <f t="shared" si="3"/>
        <v>0</v>
      </c>
      <c r="K15" s="20">
        <f t="shared" si="3"/>
        <v>0</v>
      </c>
      <c r="L15" s="21">
        <f t="shared" si="3"/>
        <v>0</v>
      </c>
      <c r="M15" s="3"/>
      <c r="N15" s="67"/>
    </row>
    <row r="16" spans="1:15" x14ac:dyDescent="0.2">
      <c r="A16" s="4" t="s">
        <v>11</v>
      </c>
      <c r="B16" s="20">
        <f>$G7</f>
        <v>0</v>
      </c>
      <c r="C16" s="20">
        <f t="shared" ref="C16:L16" si="4">$G7</f>
        <v>0</v>
      </c>
      <c r="D16" s="20">
        <f t="shared" si="4"/>
        <v>0</v>
      </c>
      <c r="E16" s="20">
        <f t="shared" si="4"/>
        <v>0</v>
      </c>
      <c r="F16" s="20">
        <f t="shared" si="4"/>
        <v>0</v>
      </c>
      <c r="G16" s="20">
        <f t="shared" si="4"/>
        <v>0</v>
      </c>
      <c r="H16" s="20">
        <f t="shared" si="4"/>
        <v>0</v>
      </c>
      <c r="I16" s="20">
        <f t="shared" si="4"/>
        <v>0</v>
      </c>
      <c r="J16" s="20">
        <f t="shared" si="4"/>
        <v>0</v>
      </c>
      <c r="K16" s="20">
        <f t="shared" si="4"/>
        <v>0</v>
      </c>
      <c r="L16" s="21">
        <f t="shared" si="4"/>
        <v>0</v>
      </c>
      <c r="M16" s="3"/>
      <c r="N16" s="67"/>
    </row>
    <row r="17" spans="1:19" x14ac:dyDescent="0.2">
      <c r="A17" s="4" t="s">
        <v>12</v>
      </c>
      <c r="B17" s="20">
        <f t="shared" ref="B17:L17" si="5">(B12+B15-B16)*B9</f>
        <v>100</v>
      </c>
      <c r="C17" s="20">
        <f t="shared" si="5"/>
        <v>105</v>
      </c>
      <c r="D17" s="20">
        <f t="shared" si="5"/>
        <v>110.00000000000001</v>
      </c>
      <c r="E17" s="20">
        <f t="shared" si="5"/>
        <v>114.99999999999999</v>
      </c>
      <c r="F17" s="20">
        <f t="shared" si="5"/>
        <v>120</v>
      </c>
      <c r="G17" s="20">
        <f t="shared" si="5"/>
        <v>125</v>
      </c>
      <c r="H17" s="20">
        <f t="shared" si="5"/>
        <v>130</v>
      </c>
      <c r="I17" s="20">
        <f t="shared" si="5"/>
        <v>135</v>
      </c>
      <c r="J17" s="20">
        <f t="shared" si="5"/>
        <v>140</v>
      </c>
      <c r="K17" s="20">
        <f t="shared" si="5"/>
        <v>145</v>
      </c>
      <c r="L17" s="21">
        <f t="shared" si="5"/>
        <v>150</v>
      </c>
      <c r="M17" s="3"/>
      <c r="N17" s="67"/>
    </row>
    <row r="18" spans="1:19" x14ac:dyDescent="0.2">
      <c r="A18" s="4" t="s">
        <v>13</v>
      </c>
      <c r="B18" s="20">
        <f t="shared" ref="B18:K18" si="6">B17*$I3/$I2</f>
        <v>376.1904761904762</v>
      </c>
      <c r="C18" s="20">
        <f t="shared" si="6"/>
        <v>395</v>
      </c>
      <c r="D18" s="20">
        <f t="shared" si="6"/>
        <v>413.80952380952391</v>
      </c>
      <c r="E18" s="20">
        <f t="shared" si="6"/>
        <v>432.61904761904759</v>
      </c>
      <c r="F18" s="20">
        <f t="shared" si="6"/>
        <v>451.4285714285715</v>
      </c>
      <c r="G18" s="20">
        <f t="shared" si="6"/>
        <v>470.23809523809524</v>
      </c>
      <c r="H18" s="20">
        <f t="shared" si="6"/>
        <v>489.04761904761909</v>
      </c>
      <c r="I18" s="20">
        <f t="shared" si="6"/>
        <v>507.85714285714289</v>
      </c>
      <c r="J18" s="20">
        <f t="shared" si="6"/>
        <v>526.66666666666674</v>
      </c>
      <c r="K18" s="20">
        <f t="shared" si="6"/>
        <v>545.4761904761906</v>
      </c>
      <c r="L18" s="21">
        <f>L17*$I3/$I2</f>
        <v>564.28571428571433</v>
      </c>
      <c r="M18" s="3"/>
      <c r="N18" s="67"/>
    </row>
    <row r="19" spans="1:19" ht="15.75" thickBot="1" x14ac:dyDescent="0.25">
      <c r="A19" s="4" t="s">
        <v>14</v>
      </c>
      <c r="B19" s="20">
        <v>0</v>
      </c>
      <c r="C19" s="20">
        <f t="shared" ref="C19:L19" si="7">C17-$B17</f>
        <v>5</v>
      </c>
      <c r="D19" s="20">
        <f t="shared" si="7"/>
        <v>10.000000000000014</v>
      </c>
      <c r="E19" s="20">
        <f t="shared" si="7"/>
        <v>14.999999999999986</v>
      </c>
      <c r="F19" s="20">
        <f t="shared" si="7"/>
        <v>20</v>
      </c>
      <c r="G19" s="20">
        <f t="shared" si="7"/>
        <v>25</v>
      </c>
      <c r="H19" s="20">
        <f t="shared" si="7"/>
        <v>30</v>
      </c>
      <c r="I19" s="20">
        <f t="shared" si="7"/>
        <v>35</v>
      </c>
      <c r="J19" s="20">
        <f t="shared" si="7"/>
        <v>40</v>
      </c>
      <c r="K19" s="20">
        <f t="shared" si="7"/>
        <v>45</v>
      </c>
      <c r="L19" s="21">
        <f t="shared" si="7"/>
        <v>50</v>
      </c>
      <c r="M19" s="3"/>
      <c r="N19" s="67"/>
    </row>
    <row r="20" spans="1:19" ht="15.75" x14ac:dyDescent="0.25">
      <c r="A20" s="16" t="s">
        <v>26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  <c r="N20" s="67"/>
    </row>
    <row r="21" spans="1:19" x14ac:dyDescent="0.2">
      <c r="A21" s="4" t="s">
        <v>15</v>
      </c>
      <c r="B21" s="20">
        <f t="shared" ref="B21:L21" si="8">B11/(B11+B18+B19)*100</f>
        <v>21</v>
      </c>
      <c r="C21" s="20">
        <f t="shared" si="8"/>
        <v>20</v>
      </c>
      <c r="D21" s="20">
        <f t="shared" si="8"/>
        <v>19.09090909090909</v>
      </c>
      <c r="E21" s="20">
        <f t="shared" si="8"/>
        <v>18.260869565217391</v>
      </c>
      <c r="F21" s="20">
        <f t="shared" si="8"/>
        <v>17.499999999999996</v>
      </c>
      <c r="G21" s="20">
        <f t="shared" si="8"/>
        <v>16.8</v>
      </c>
      <c r="H21" s="20">
        <f t="shared" si="8"/>
        <v>16.153846153846153</v>
      </c>
      <c r="I21" s="20">
        <f t="shared" si="8"/>
        <v>15.555555555555555</v>
      </c>
      <c r="J21" s="20">
        <f t="shared" si="8"/>
        <v>15</v>
      </c>
      <c r="K21" s="20">
        <f t="shared" si="8"/>
        <v>14.482758620689653</v>
      </c>
      <c r="L21" s="21">
        <f t="shared" si="8"/>
        <v>13.999999999999998</v>
      </c>
      <c r="M21" s="3"/>
      <c r="N21" s="67"/>
    </row>
    <row r="22" spans="1:19" x14ac:dyDescent="0.2">
      <c r="A22" s="4" t="s">
        <v>6</v>
      </c>
      <c r="B22" s="20">
        <f t="shared" ref="B22:K22" si="9">(B19)/(B11+B18+B19)*100</f>
        <v>0</v>
      </c>
      <c r="C22" s="20">
        <f t="shared" si="9"/>
        <v>1</v>
      </c>
      <c r="D22" s="20">
        <f t="shared" si="9"/>
        <v>1.9090909090909116</v>
      </c>
      <c r="E22" s="20">
        <f t="shared" si="9"/>
        <v>2.7391304347826062</v>
      </c>
      <c r="F22" s="20">
        <f t="shared" si="9"/>
        <v>3.4999999999999991</v>
      </c>
      <c r="G22" s="20">
        <f t="shared" si="9"/>
        <v>4.2</v>
      </c>
      <c r="H22" s="20">
        <f t="shared" si="9"/>
        <v>4.8461538461538467</v>
      </c>
      <c r="I22" s="20">
        <f t="shared" si="9"/>
        <v>5.4444444444444438</v>
      </c>
      <c r="J22" s="20">
        <f t="shared" si="9"/>
        <v>5.9999999999999991</v>
      </c>
      <c r="K22" s="20">
        <f t="shared" si="9"/>
        <v>6.5172413793103443</v>
      </c>
      <c r="L22" s="21">
        <f>(L19)/(L11+L18+L19)*100</f>
        <v>6.9999999999999991</v>
      </c>
      <c r="M22" s="3"/>
      <c r="N22" s="67"/>
    </row>
    <row r="23" spans="1:19" ht="15.75" thickBot="1" x14ac:dyDescent="0.25">
      <c r="A23" s="22" t="s">
        <v>16</v>
      </c>
      <c r="B23" s="23">
        <f t="shared" ref="B23:L23" si="10">B18/(B11+B19+B18)*100</f>
        <v>79</v>
      </c>
      <c r="C23" s="23">
        <f t="shared" si="10"/>
        <v>79</v>
      </c>
      <c r="D23" s="23">
        <f t="shared" si="10"/>
        <v>78.999999999999986</v>
      </c>
      <c r="E23" s="23">
        <f t="shared" si="10"/>
        <v>79</v>
      </c>
      <c r="F23" s="23">
        <f t="shared" si="10"/>
        <v>78.999999999999986</v>
      </c>
      <c r="G23" s="23">
        <f t="shared" si="10"/>
        <v>79</v>
      </c>
      <c r="H23" s="23">
        <f t="shared" si="10"/>
        <v>79</v>
      </c>
      <c r="I23" s="23">
        <f t="shared" si="10"/>
        <v>79</v>
      </c>
      <c r="J23" s="23">
        <f t="shared" si="10"/>
        <v>79</v>
      </c>
      <c r="K23" s="23">
        <f t="shared" si="10"/>
        <v>79</v>
      </c>
      <c r="L23" s="24">
        <f t="shared" si="10"/>
        <v>79</v>
      </c>
      <c r="M23" s="3"/>
      <c r="N23" s="67"/>
    </row>
    <row r="24" spans="1:19" ht="15.75" thickBo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7"/>
    </row>
    <row r="25" spans="1:19" ht="16.5" customHeight="1" thickBot="1" x14ac:dyDescent="0.3">
      <c r="A25" s="43" t="s">
        <v>0</v>
      </c>
      <c r="B25" s="44" t="s">
        <v>47</v>
      </c>
      <c r="C25" s="45"/>
      <c r="D25" s="199" t="s">
        <v>1</v>
      </c>
      <c r="E25" s="200"/>
      <c r="F25" s="201">
        <f>+F26</f>
        <v>15.234042553191488</v>
      </c>
      <c r="G25" s="198" t="s">
        <v>22</v>
      </c>
      <c r="H25" s="150" t="s">
        <v>25</v>
      </c>
      <c r="I25" s="151"/>
      <c r="J25" s="160" t="s">
        <v>94</v>
      </c>
      <c r="K25" s="161"/>
      <c r="L25" s="5"/>
      <c r="M25" s="5"/>
      <c r="N25" s="135" t="s">
        <v>48</v>
      </c>
      <c r="O25" s="196" t="s">
        <v>39</v>
      </c>
      <c r="P25" s="96"/>
      <c r="Q25" s="62">
        <v>1</v>
      </c>
      <c r="R25" s="59" t="s">
        <v>40</v>
      </c>
      <c r="S25" s="70">
        <v>0.71599999999999997</v>
      </c>
    </row>
    <row r="26" spans="1:19" ht="15.75" customHeight="1" x14ac:dyDescent="0.25">
      <c r="A26" s="29"/>
      <c r="B26" s="31" t="s">
        <v>5</v>
      </c>
      <c r="C26" s="128">
        <v>0.71599999999999997</v>
      </c>
      <c r="D26" s="32" t="s">
        <v>17</v>
      </c>
      <c r="E26" s="74"/>
      <c r="F26" s="194">
        <f>+C26/C27</f>
        <v>15.234042553191488</v>
      </c>
      <c r="G26" s="191">
        <f>+$G$2</f>
        <v>12</v>
      </c>
      <c r="H26" s="25" t="s">
        <v>6</v>
      </c>
      <c r="I26" s="184">
        <f>$I$2</f>
        <v>0.21</v>
      </c>
      <c r="J26" s="162"/>
      <c r="K26" s="163"/>
      <c r="L26" s="5"/>
      <c r="M26" s="5"/>
      <c r="N26" s="136"/>
      <c r="O26" s="197" t="s">
        <v>41</v>
      </c>
      <c r="P26" s="97"/>
      <c r="Q26" s="63">
        <f>+Q25+1</f>
        <v>2</v>
      </c>
      <c r="R26" s="60" t="s">
        <v>40</v>
      </c>
      <c r="S26" s="71">
        <v>4.7E-2</v>
      </c>
    </row>
    <row r="27" spans="1:19" ht="15.75" customHeight="1" x14ac:dyDescent="0.25">
      <c r="A27" s="29"/>
      <c r="B27" s="32" t="s">
        <v>4</v>
      </c>
      <c r="C27" s="129">
        <v>4.7E-2</v>
      </c>
      <c r="D27" s="32" t="s">
        <v>18</v>
      </c>
      <c r="E27" s="74"/>
      <c r="F27" s="194">
        <f>C26/C27/F26</f>
        <v>1</v>
      </c>
      <c r="G27" s="191">
        <f>+$G$3</f>
        <v>2</v>
      </c>
      <c r="H27" s="26" t="s">
        <v>16</v>
      </c>
      <c r="I27" s="185">
        <f>$I$3</f>
        <v>0.79</v>
      </c>
      <c r="J27" s="162"/>
      <c r="K27" s="163"/>
      <c r="L27" s="5"/>
      <c r="M27" s="5"/>
      <c r="N27" s="136"/>
      <c r="O27" s="197" t="s">
        <v>42</v>
      </c>
      <c r="P27" s="97"/>
      <c r="Q27" s="63">
        <f t="shared" ref="Q27:Q35" si="11">+Q26+1</f>
        <v>3</v>
      </c>
      <c r="R27" s="60" t="s">
        <v>40</v>
      </c>
      <c r="S27" s="71">
        <v>1.2999999999999999E-2</v>
      </c>
    </row>
    <row r="28" spans="1:19" ht="16.5" customHeight="1" thickBot="1" x14ac:dyDescent="0.3">
      <c r="A28" s="30"/>
      <c r="B28" s="33" t="s">
        <v>3</v>
      </c>
      <c r="C28" s="130">
        <v>5.7000000000000002E-2</v>
      </c>
      <c r="D28" s="33" t="s">
        <v>19</v>
      </c>
      <c r="E28" s="202"/>
      <c r="F28" s="195">
        <f>+C28</f>
        <v>5.7000000000000002E-2</v>
      </c>
      <c r="G28" s="192">
        <f>+$G$4</f>
        <v>32</v>
      </c>
      <c r="H28" s="27"/>
      <c r="I28" s="28"/>
      <c r="J28" s="162"/>
      <c r="K28" s="163"/>
      <c r="L28" s="5"/>
      <c r="M28" s="5"/>
      <c r="N28" s="136"/>
      <c r="O28" s="197" t="s">
        <v>43</v>
      </c>
      <c r="P28" s="97"/>
      <c r="Q28" s="63">
        <f t="shared" si="11"/>
        <v>4</v>
      </c>
      <c r="R28" s="60" t="s">
        <v>40</v>
      </c>
      <c r="S28" s="71">
        <v>1.7000000000000001E-2</v>
      </c>
    </row>
    <row r="29" spans="1:19" ht="16.5" thickBot="1" x14ac:dyDescent="0.3">
      <c r="A29" s="142" t="s">
        <v>91</v>
      </c>
      <c r="B29" s="143"/>
      <c r="C29" s="144"/>
      <c r="D29" s="142" t="s">
        <v>21</v>
      </c>
      <c r="E29" s="143"/>
      <c r="F29" s="144"/>
      <c r="G29" s="145" t="s">
        <v>2</v>
      </c>
      <c r="H29" s="143"/>
      <c r="I29" s="144"/>
      <c r="J29" s="162"/>
      <c r="K29" s="163"/>
      <c r="L29" s="5"/>
      <c r="M29" s="5"/>
      <c r="N29" s="136"/>
      <c r="O29" s="197" t="s">
        <v>44</v>
      </c>
      <c r="P29" s="97"/>
      <c r="Q29" s="63">
        <f t="shared" si="11"/>
        <v>5</v>
      </c>
      <c r="R29" s="60" t="s">
        <v>40</v>
      </c>
      <c r="S29" s="71">
        <v>0.15</v>
      </c>
    </row>
    <row r="30" spans="1:19" ht="15.75" customHeight="1" x14ac:dyDescent="0.25">
      <c r="A30" s="11" t="s">
        <v>3</v>
      </c>
      <c r="B30" s="12" t="s">
        <v>4</v>
      </c>
      <c r="C30" s="13" t="s">
        <v>5</v>
      </c>
      <c r="D30" s="11" t="s">
        <v>3</v>
      </c>
      <c r="E30" s="12" t="s">
        <v>4</v>
      </c>
      <c r="F30" s="13" t="s">
        <v>5</v>
      </c>
      <c r="G30" s="14" t="s">
        <v>3</v>
      </c>
      <c r="H30" s="12" t="s">
        <v>4</v>
      </c>
      <c r="I30" s="13" t="s">
        <v>5</v>
      </c>
      <c r="J30" s="162"/>
      <c r="K30" s="163"/>
      <c r="L30" s="5"/>
      <c r="M30" s="5"/>
      <c r="N30" s="136"/>
      <c r="O30" s="197" t="s">
        <v>46</v>
      </c>
      <c r="P30" s="97"/>
      <c r="Q30" s="63">
        <f t="shared" si="11"/>
        <v>6</v>
      </c>
      <c r="R30" s="60" t="s">
        <v>40</v>
      </c>
      <c r="S30" s="64">
        <f>1-SUM(S25:S29)</f>
        <v>5.699999999999994E-2</v>
      </c>
    </row>
    <row r="31" spans="1:19" ht="15.75" customHeight="1" thickBot="1" x14ac:dyDescent="0.3">
      <c r="A31" s="8">
        <f>F28*100</f>
        <v>5.7</v>
      </c>
      <c r="B31" s="9">
        <f>(100-A31)*F27/(F26+F27)</f>
        <v>5.8087811271297518</v>
      </c>
      <c r="C31" s="10">
        <f>(100-A31)*F26/(F26+F27)</f>
        <v>88.491218872870249</v>
      </c>
      <c r="D31" s="8">
        <f>+A31/G28</f>
        <v>0.17812500000000001</v>
      </c>
      <c r="E31" s="9">
        <f>+B31/G27</f>
        <v>2.9043905635648759</v>
      </c>
      <c r="F31" s="10">
        <f>+C31/G26</f>
        <v>7.3742682394058541</v>
      </c>
      <c r="G31" s="34">
        <f>+D31/SUM($D31:$F31)*100</f>
        <v>1.7034396364721187</v>
      </c>
      <c r="H31" s="35">
        <f>+E31/SUM($D31:$F31)*100</f>
        <v>27.775180383281427</v>
      </c>
      <c r="I31" s="36">
        <f>+F31/SUM($D31:$F31)*100</f>
        <v>70.521379980246451</v>
      </c>
      <c r="J31" s="164"/>
      <c r="K31" s="165"/>
      <c r="L31" s="5"/>
      <c r="M31" s="5"/>
      <c r="N31" s="137"/>
      <c r="O31" s="98" t="s">
        <v>45</v>
      </c>
      <c r="P31" s="99"/>
      <c r="Q31" s="61"/>
      <c r="R31" s="77" t="s">
        <v>40</v>
      </c>
      <c r="S31" s="78">
        <f>SUM(S25:S30)</f>
        <v>1</v>
      </c>
    </row>
    <row r="32" spans="1:19" ht="16.5" thickBot="1" x14ac:dyDescent="0.3">
      <c r="A32" s="6"/>
      <c r="B32" s="6"/>
      <c r="C32" s="6"/>
      <c r="D32" s="5"/>
      <c r="E32" s="7"/>
      <c r="F32" s="6"/>
      <c r="G32" s="6"/>
      <c r="H32" s="6"/>
      <c r="I32" s="5"/>
      <c r="J32" s="5"/>
      <c r="K32" s="5"/>
      <c r="L32" s="5"/>
      <c r="M32" s="5"/>
      <c r="N32" s="118" t="s">
        <v>49</v>
      </c>
      <c r="O32" s="114"/>
      <c r="P32" s="119" t="s">
        <v>50</v>
      </c>
      <c r="Q32" s="120">
        <f>+Q30+1</f>
        <v>7</v>
      </c>
      <c r="R32" s="121" t="s">
        <v>40</v>
      </c>
      <c r="S32" s="122">
        <f>+S25/S26</f>
        <v>15.234042553191488</v>
      </c>
    </row>
    <row r="33" spans="1:19" ht="19.5" thickBot="1" x14ac:dyDescent="0.4">
      <c r="A33" s="17" t="s">
        <v>7</v>
      </c>
      <c r="B33" s="131">
        <f>+B$9</f>
        <v>1</v>
      </c>
      <c r="C33" s="131">
        <f t="shared" ref="C33:L33" si="12">+C$9</f>
        <v>1.05</v>
      </c>
      <c r="D33" s="131">
        <f t="shared" si="12"/>
        <v>1.1000000000000001</v>
      </c>
      <c r="E33" s="131">
        <f t="shared" si="12"/>
        <v>1.1499999999999999</v>
      </c>
      <c r="F33" s="131">
        <f t="shared" si="12"/>
        <v>1.2</v>
      </c>
      <c r="G33" s="131">
        <f t="shared" si="12"/>
        <v>1.25</v>
      </c>
      <c r="H33" s="131">
        <f t="shared" si="12"/>
        <v>1.3</v>
      </c>
      <c r="I33" s="131">
        <f t="shared" si="12"/>
        <v>1.35</v>
      </c>
      <c r="J33" s="131">
        <f t="shared" si="12"/>
        <v>1.4</v>
      </c>
      <c r="K33" s="131">
        <f t="shared" si="12"/>
        <v>1.45</v>
      </c>
      <c r="L33" s="132">
        <f t="shared" si="12"/>
        <v>1.5</v>
      </c>
      <c r="M33" s="5"/>
      <c r="N33" s="112" t="s">
        <v>64</v>
      </c>
      <c r="O33" s="75">
        <f>+S32</f>
        <v>15.234042553191488</v>
      </c>
      <c r="P33" s="82" t="s">
        <v>51</v>
      </c>
      <c r="Q33" s="63">
        <f t="shared" si="11"/>
        <v>8</v>
      </c>
      <c r="R33" s="67" t="s">
        <v>33</v>
      </c>
      <c r="S33" s="127">
        <f>+S32/O33</f>
        <v>1</v>
      </c>
    </row>
    <row r="34" spans="1:19" ht="15.75" x14ac:dyDescent="0.25">
      <c r="A34" s="16" t="s">
        <v>23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9"/>
      <c r="N34" s="113" t="s">
        <v>60</v>
      </c>
      <c r="O34" s="84"/>
      <c r="P34" s="85"/>
      <c r="Q34" s="86">
        <f t="shared" si="11"/>
        <v>9</v>
      </c>
      <c r="R34" s="87" t="s">
        <v>40</v>
      </c>
      <c r="S34" s="78">
        <f>+S30</f>
        <v>5.699999999999994E-2</v>
      </c>
    </row>
    <row r="35" spans="1:19" ht="15.75" x14ac:dyDescent="0.25">
      <c r="A35" s="4" t="s">
        <v>8</v>
      </c>
      <c r="B35" s="20">
        <f>$I31</f>
        <v>70.521379980246451</v>
      </c>
      <c r="C35" s="20">
        <f t="shared" ref="C35:L35" si="13">$I31</f>
        <v>70.521379980246451</v>
      </c>
      <c r="D35" s="20">
        <f t="shared" si="13"/>
        <v>70.521379980246451</v>
      </c>
      <c r="E35" s="20">
        <f t="shared" si="13"/>
        <v>70.521379980246451</v>
      </c>
      <c r="F35" s="20">
        <f t="shared" si="13"/>
        <v>70.521379980246451</v>
      </c>
      <c r="G35" s="20">
        <f t="shared" si="13"/>
        <v>70.521379980246451</v>
      </c>
      <c r="H35" s="20">
        <f t="shared" si="13"/>
        <v>70.521379980246451</v>
      </c>
      <c r="I35" s="20">
        <f t="shared" si="13"/>
        <v>70.521379980246451</v>
      </c>
      <c r="J35" s="20">
        <f t="shared" si="13"/>
        <v>70.521379980246451</v>
      </c>
      <c r="K35" s="20">
        <f t="shared" si="13"/>
        <v>70.521379980246451</v>
      </c>
      <c r="L35" s="21">
        <f t="shared" si="13"/>
        <v>70.521379980246451</v>
      </c>
      <c r="M35" s="3"/>
      <c r="N35" s="135" t="s">
        <v>52</v>
      </c>
      <c r="O35" s="79" t="s">
        <v>5</v>
      </c>
      <c r="P35" s="101"/>
      <c r="Q35" s="62">
        <f t="shared" si="11"/>
        <v>10</v>
      </c>
      <c r="R35" s="59" t="s">
        <v>53</v>
      </c>
      <c r="S35" s="88">
        <v>12</v>
      </c>
    </row>
    <row r="36" spans="1:19" ht="16.5" thickBot="1" x14ac:dyDescent="0.3">
      <c r="A36" s="4" t="s">
        <v>9</v>
      </c>
      <c r="B36" s="20">
        <f t="shared" ref="B36:L36" si="14">B35</f>
        <v>70.521379980246451</v>
      </c>
      <c r="C36" s="20">
        <f t="shared" si="14"/>
        <v>70.521379980246451</v>
      </c>
      <c r="D36" s="20">
        <f t="shared" si="14"/>
        <v>70.521379980246451</v>
      </c>
      <c r="E36" s="20">
        <f t="shared" si="14"/>
        <v>70.521379980246451</v>
      </c>
      <c r="F36" s="20">
        <f t="shared" si="14"/>
        <v>70.521379980246451</v>
      </c>
      <c r="G36" s="20">
        <f t="shared" si="14"/>
        <v>70.521379980246451</v>
      </c>
      <c r="H36" s="20">
        <f t="shared" si="14"/>
        <v>70.521379980246451</v>
      </c>
      <c r="I36" s="20">
        <f t="shared" si="14"/>
        <v>70.521379980246451</v>
      </c>
      <c r="J36" s="20">
        <f t="shared" si="14"/>
        <v>70.521379980246451</v>
      </c>
      <c r="K36" s="20">
        <f t="shared" si="14"/>
        <v>70.521379980246451</v>
      </c>
      <c r="L36" s="21">
        <f t="shared" si="14"/>
        <v>70.521379980246451</v>
      </c>
      <c r="M36" s="3"/>
      <c r="N36" s="136"/>
      <c r="O36" s="74" t="s">
        <v>4</v>
      </c>
      <c r="P36" s="95"/>
      <c r="Q36" s="63">
        <f t="shared" ref="Q36:Q49" si="15">+Q35+1</f>
        <v>11</v>
      </c>
      <c r="R36" s="60" t="s">
        <v>53</v>
      </c>
      <c r="S36" s="72">
        <v>2</v>
      </c>
    </row>
    <row r="37" spans="1:19" ht="15.75" x14ac:dyDescent="0.25">
      <c r="A37" s="16" t="s">
        <v>24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9"/>
      <c r="N37" s="137"/>
      <c r="O37" s="83" t="s">
        <v>3</v>
      </c>
      <c r="P37" s="102"/>
      <c r="Q37" s="86">
        <f t="shared" si="15"/>
        <v>12</v>
      </c>
      <c r="R37" s="77" t="s">
        <v>53</v>
      </c>
      <c r="S37" s="90">
        <v>32</v>
      </c>
    </row>
    <row r="38" spans="1:19" ht="15.75" x14ac:dyDescent="0.25">
      <c r="A38" s="4" t="s">
        <v>10</v>
      </c>
      <c r="B38" s="20">
        <f>$H31</f>
        <v>27.775180383281427</v>
      </c>
      <c r="C38" s="20">
        <f t="shared" ref="C38:L38" si="16">$H31</f>
        <v>27.775180383281427</v>
      </c>
      <c r="D38" s="20">
        <f t="shared" si="16"/>
        <v>27.775180383281427</v>
      </c>
      <c r="E38" s="20">
        <f t="shared" si="16"/>
        <v>27.775180383281427</v>
      </c>
      <c r="F38" s="20">
        <f t="shared" si="16"/>
        <v>27.775180383281427</v>
      </c>
      <c r="G38" s="20">
        <f t="shared" si="16"/>
        <v>27.775180383281427</v>
      </c>
      <c r="H38" s="20">
        <f t="shared" si="16"/>
        <v>27.775180383281427</v>
      </c>
      <c r="I38" s="20">
        <f t="shared" si="16"/>
        <v>27.775180383281427</v>
      </c>
      <c r="J38" s="20">
        <f t="shared" si="16"/>
        <v>27.775180383281427</v>
      </c>
      <c r="K38" s="20">
        <f t="shared" si="16"/>
        <v>27.775180383281427</v>
      </c>
      <c r="L38" s="21">
        <f t="shared" si="16"/>
        <v>27.775180383281427</v>
      </c>
      <c r="M38" s="3"/>
      <c r="N38" s="133" t="s">
        <v>54</v>
      </c>
      <c r="O38" s="79" t="s">
        <v>3</v>
      </c>
      <c r="P38" s="101"/>
      <c r="Q38" s="62">
        <f t="shared" si="15"/>
        <v>13</v>
      </c>
      <c r="R38" s="80" t="s">
        <v>56</v>
      </c>
      <c r="S38" s="91">
        <v>21</v>
      </c>
    </row>
    <row r="39" spans="1:19" ht="15" customHeight="1" x14ac:dyDescent="0.25">
      <c r="A39" s="4" t="s">
        <v>9</v>
      </c>
      <c r="B39" s="20">
        <f t="shared" ref="B39:L39" si="17">B38/2</f>
        <v>13.887590191640713</v>
      </c>
      <c r="C39" s="20">
        <f t="shared" si="17"/>
        <v>13.887590191640713</v>
      </c>
      <c r="D39" s="20">
        <f t="shared" si="17"/>
        <v>13.887590191640713</v>
      </c>
      <c r="E39" s="20">
        <f t="shared" si="17"/>
        <v>13.887590191640713</v>
      </c>
      <c r="F39" s="20">
        <f t="shared" si="17"/>
        <v>13.887590191640713</v>
      </c>
      <c r="G39" s="20">
        <f t="shared" si="17"/>
        <v>13.887590191640713</v>
      </c>
      <c r="H39" s="20">
        <f t="shared" si="17"/>
        <v>13.887590191640713</v>
      </c>
      <c r="I39" s="20">
        <f t="shared" si="17"/>
        <v>13.887590191640713</v>
      </c>
      <c r="J39" s="20">
        <f t="shared" si="17"/>
        <v>13.887590191640713</v>
      </c>
      <c r="K39" s="20">
        <f t="shared" si="17"/>
        <v>13.887590191640713</v>
      </c>
      <c r="L39" s="21">
        <f t="shared" si="17"/>
        <v>13.887590191640713</v>
      </c>
      <c r="M39" s="3"/>
      <c r="N39" s="134"/>
      <c r="O39" s="83" t="s">
        <v>55</v>
      </c>
      <c r="P39" s="102"/>
      <c r="Q39" s="86">
        <f t="shared" si="15"/>
        <v>14</v>
      </c>
      <c r="R39" s="89" t="s">
        <v>56</v>
      </c>
      <c r="S39" s="92">
        <v>79</v>
      </c>
    </row>
    <row r="40" spans="1:19" x14ac:dyDescent="0.2">
      <c r="A40" s="4" t="s">
        <v>11</v>
      </c>
      <c r="B40" s="20">
        <f>$G31</f>
        <v>1.7034396364721187</v>
      </c>
      <c r="C40" s="20">
        <f t="shared" ref="C40:L40" si="18">$G31</f>
        <v>1.7034396364721187</v>
      </c>
      <c r="D40" s="20">
        <f t="shared" si="18"/>
        <v>1.7034396364721187</v>
      </c>
      <c r="E40" s="20">
        <f t="shared" si="18"/>
        <v>1.7034396364721187</v>
      </c>
      <c r="F40" s="20">
        <f t="shared" si="18"/>
        <v>1.7034396364721187</v>
      </c>
      <c r="G40" s="20">
        <f t="shared" si="18"/>
        <v>1.7034396364721187</v>
      </c>
      <c r="H40" s="20">
        <f t="shared" si="18"/>
        <v>1.7034396364721187</v>
      </c>
      <c r="I40" s="20">
        <f t="shared" si="18"/>
        <v>1.7034396364721187</v>
      </c>
      <c r="J40" s="20">
        <f t="shared" si="18"/>
        <v>1.7034396364721187</v>
      </c>
      <c r="K40" s="20">
        <f t="shared" si="18"/>
        <v>1.7034396364721187</v>
      </c>
      <c r="L40" s="21">
        <f t="shared" si="18"/>
        <v>1.7034396364721187</v>
      </c>
      <c r="M40" s="3"/>
      <c r="N40" s="135" t="s">
        <v>57</v>
      </c>
      <c r="O40" s="79" t="s">
        <v>5</v>
      </c>
      <c r="P40" s="95" t="s">
        <v>61</v>
      </c>
      <c r="Q40" s="62">
        <f t="shared" si="15"/>
        <v>15</v>
      </c>
      <c r="R40" s="80" t="s">
        <v>56</v>
      </c>
      <c r="S40" s="81">
        <f>(1-S34)*S32/(S32+S33)*100</f>
        <v>88.491218872870263</v>
      </c>
    </row>
    <row r="41" spans="1:19" x14ac:dyDescent="0.2">
      <c r="A41" s="4" t="s">
        <v>12</v>
      </c>
      <c r="B41" s="20">
        <f>(B36+B39-B40)*B33</f>
        <v>82.705530535415051</v>
      </c>
      <c r="C41" s="20">
        <f t="shared" ref="C41:L41" si="19">(C36+C39-C40)*C33</f>
        <v>86.840807062185803</v>
      </c>
      <c r="D41" s="20">
        <f t="shared" si="19"/>
        <v>90.97608358895657</v>
      </c>
      <c r="E41" s="20">
        <f t="shared" si="19"/>
        <v>95.111360115727294</v>
      </c>
      <c r="F41" s="20">
        <f t="shared" si="19"/>
        <v>99.246636642498061</v>
      </c>
      <c r="G41" s="20">
        <f t="shared" si="19"/>
        <v>103.38191316926881</v>
      </c>
      <c r="H41" s="20">
        <f t="shared" si="19"/>
        <v>107.51718969603957</v>
      </c>
      <c r="I41" s="20">
        <f t="shared" si="19"/>
        <v>111.65246622281033</v>
      </c>
      <c r="J41" s="20">
        <f t="shared" si="19"/>
        <v>115.78774274958106</v>
      </c>
      <c r="K41" s="20">
        <f t="shared" si="19"/>
        <v>119.92301927635182</v>
      </c>
      <c r="L41" s="21">
        <f t="shared" si="19"/>
        <v>124.05829580312258</v>
      </c>
      <c r="M41" s="3"/>
      <c r="N41" s="136"/>
      <c r="O41" s="74" t="s">
        <v>4</v>
      </c>
      <c r="P41" s="95" t="s">
        <v>62</v>
      </c>
      <c r="Q41" s="63">
        <f t="shared" si="15"/>
        <v>16</v>
      </c>
      <c r="R41" s="67" t="s">
        <v>56</v>
      </c>
      <c r="S41" s="65">
        <f>(1-S34)*S33/(S32+S33)*100</f>
        <v>5.8087811271297518</v>
      </c>
    </row>
    <row r="42" spans="1:19" ht="15" customHeight="1" x14ac:dyDescent="0.2">
      <c r="A42" s="4" t="s">
        <v>13</v>
      </c>
      <c r="B42" s="20">
        <f>B41*$I27/$I26</f>
        <v>311.13032915703758</v>
      </c>
      <c r="C42" s="20">
        <f t="shared" ref="C42:L42" si="20">C41*$I27/$I26</f>
        <v>326.68684561488948</v>
      </c>
      <c r="D42" s="20">
        <f t="shared" si="20"/>
        <v>342.24336207274138</v>
      </c>
      <c r="E42" s="20">
        <f t="shared" si="20"/>
        <v>357.79987853059322</v>
      </c>
      <c r="F42" s="20">
        <f>F41*$I27/$I26</f>
        <v>373.35639498844512</v>
      </c>
      <c r="G42" s="20">
        <f t="shared" si="20"/>
        <v>388.91291144629702</v>
      </c>
      <c r="H42" s="20">
        <f t="shared" si="20"/>
        <v>404.46942790414886</v>
      </c>
      <c r="I42" s="20">
        <f t="shared" si="20"/>
        <v>420.02594436200081</v>
      </c>
      <c r="J42" s="20">
        <f t="shared" si="20"/>
        <v>435.5824608198526</v>
      </c>
      <c r="K42" s="20">
        <f t="shared" si="20"/>
        <v>451.13897727770456</v>
      </c>
      <c r="L42" s="21">
        <f t="shared" si="20"/>
        <v>466.6954937355564</v>
      </c>
      <c r="M42" s="3"/>
      <c r="N42" s="137"/>
      <c r="O42" s="83" t="s">
        <v>3</v>
      </c>
      <c r="P42" s="100" t="s">
        <v>63</v>
      </c>
      <c r="Q42" s="86">
        <f t="shared" si="15"/>
        <v>17</v>
      </c>
      <c r="R42" s="85" t="s">
        <v>56</v>
      </c>
      <c r="S42" s="93">
        <f>S34*100</f>
        <v>5.699999999999994</v>
      </c>
    </row>
    <row r="43" spans="1:19" ht="15.75" thickBot="1" x14ac:dyDescent="0.25">
      <c r="A43" s="4" t="s">
        <v>14</v>
      </c>
      <c r="B43" s="20">
        <v>0</v>
      </c>
      <c r="C43" s="20">
        <f t="shared" ref="C43:L43" si="21">C41-$B41</f>
        <v>4.1352765267707525</v>
      </c>
      <c r="D43" s="20">
        <f t="shared" si="21"/>
        <v>8.2705530535415193</v>
      </c>
      <c r="E43" s="20">
        <f t="shared" si="21"/>
        <v>12.405829580312243</v>
      </c>
      <c r="F43" s="20">
        <f>F41-$B41</f>
        <v>16.54110610708301</v>
      </c>
      <c r="G43" s="20">
        <f t="shared" si="21"/>
        <v>20.676382633853763</v>
      </c>
      <c r="H43" s="20">
        <f t="shared" si="21"/>
        <v>24.811659160624515</v>
      </c>
      <c r="I43" s="20">
        <f t="shared" si="21"/>
        <v>28.946935687395282</v>
      </c>
      <c r="J43" s="20">
        <f t="shared" si="21"/>
        <v>33.082212214166006</v>
      </c>
      <c r="K43" s="20">
        <f t="shared" si="21"/>
        <v>37.217488740936773</v>
      </c>
      <c r="L43" s="21">
        <f t="shared" si="21"/>
        <v>41.352765267707525</v>
      </c>
      <c r="M43" s="3"/>
      <c r="N43" s="135" t="s">
        <v>58</v>
      </c>
      <c r="O43" s="79" t="s">
        <v>5</v>
      </c>
      <c r="P43" s="103" t="s">
        <v>65</v>
      </c>
      <c r="Q43" s="62">
        <f t="shared" si="15"/>
        <v>18</v>
      </c>
      <c r="R43" s="108" t="s">
        <v>74</v>
      </c>
      <c r="S43" s="81">
        <f>+S40/S35</f>
        <v>7.374268239405855</v>
      </c>
    </row>
    <row r="44" spans="1:19" ht="15.75" x14ac:dyDescent="0.25">
      <c r="A44" s="16" t="s">
        <v>26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9"/>
      <c r="N44" s="136"/>
      <c r="O44" s="74" t="s">
        <v>4</v>
      </c>
      <c r="P44" s="104" t="s">
        <v>92</v>
      </c>
      <c r="Q44" s="63">
        <f t="shared" si="15"/>
        <v>19</v>
      </c>
      <c r="R44" s="109" t="s">
        <v>74</v>
      </c>
      <c r="S44" s="65">
        <f>+S41/S36</f>
        <v>2.9043905635648759</v>
      </c>
    </row>
    <row r="45" spans="1:19" ht="15" customHeight="1" x14ac:dyDescent="0.2">
      <c r="A45" s="4" t="s">
        <v>15</v>
      </c>
      <c r="B45" s="20">
        <f t="shared" ref="B45:L45" si="22">B35/(B35+B42+B43)*100</f>
        <v>18.477941613220757</v>
      </c>
      <c r="C45" s="20">
        <f t="shared" si="22"/>
        <v>17.571327206594674</v>
      </c>
      <c r="D45" s="20">
        <f t="shared" si="22"/>
        <v>16.749517391980952</v>
      </c>
      <c r="E45" s="20">
        <f t="shared" si="22"/>
        <v>16.001144900279218</v>
      </c>
      <c r="F45" s="20">
        <f>F35/(F35+F42+F43)*100</f>
        <v>15.316787142932181</v>
      </c>
      <c r="G45" s="20">
        <f t="shared" si="22"/>
        <v>14.688567405475961</v>
      </c>
      <c r="H45" s="20">
        <f t="shared" si="22"/>
        <v>14.109850316904144</v>
      </c>
      <c r="I45" s="20">
        <f t="shared" si="22"/>
        <v>13.575006579711291</v>
      </c>
      <c r="J45" s="20">
        <f t="shared" si="22"/>
        <v>13.079229254170025</v>
      </c>
      <c r="K45" s="20">
        <f t="shared" si="22"/>
        <v>12.618388881420572</v>
      </c>
      <c r="L45" s="21">
        <f t="shared" si="22"/>
        <v>12.188918192137688</v>
      </c>
      <c r="M45" s="3"/>
      <c r="N45" s="137"/>
      <c r="O45" s="83" t="s">
        <v>3</v>
      </c>
      <c r="P45" s="100" t="s">
        <v>66</v>
      </c>
      <c r="Q45" s="86">
        <f t="shared" si="15"/>
        <v>20</v>
      </c>
      <c r="R45" s="110" t="s">
        <v>74</v>
      </c>
      <c r="S45" s="93">
        <f>S42/S37</f>
        <v>0.17812499999999981</v>
      </c>
    </row>
    <row r="46" spans="1:19" x14ac:dyDescent="0.2">
      <c r="A46" s="4" t="s">
        <v>6</v>
      </c>
      <c r="B46" s="55">
        <f t="shared" ref="B46:L46" si="23">(B43)/(B35+B42+B43)*100</f>
        <v>0</v>
      </c>
      <c r="C46" s="55">
        <f t="shared" si="23"/>
        <v>1.0303584099175664</v>
      </c>
      <c r="D46" s="55">
        <f t="shared" si="23"/>
        <v>1.9643372300768573</v>
      </c>
      <c r="E46" s="55">
        <f t="shared" si="23"/>
        <v>2.8148552506821294</v>
      </c>
      <c r="F46" s="55">
        <f t="shared" si="23"/>
        <v>3.5926211515119677</v>
      </c>
      <c r="G46" s="55">
        <f t="shared" si="23"/>
        <v>4.3065867415504906</v>
      </c>
      <c r="H46" s="55">
        <f t="shared" si="23"/>
        <v>4.9642930550780173</v>
      </c>
      <c r="I46" s="55">
        <f t="shared" si="23"/>
        <v>5.5721377336765103</v>
      </c>
      <c r="J46" s="55">
        <f t="shared" si="23"/>
        <v>6.1355838173527015</v>
      </c>
      <c r="K46" s="55">
        <f t="shared" si="23"/>
        <v>6.6593243957304464</v>
      </c>
      <c r="L46" s="56">
        <f t="shared" si="23"/>
        <v>7.1474136355236748</v>
      </c>
      <c r="M46" s="2"/>
      <c r="N46" s="135" t="s">
        <v>59</v>
      </c>
      <c r="O46" s="79" t="s">
        <v>5</v>
      </c>
      <c r="P46" s="105" t="s">
        <v>67</v>
      </c>
      <c r="Q46" s="62">
        <f t="shared" si="15"/>
        <v>21</v>
      </c>
      <c r="R46" s="80" t="s">
        <v>56</v>
      </c>
      <c r="S46" s="81">
        <f>S43/SUM(S43:S45)*100</f>
        <v>70.521379980246451</v>
      </c>
    </row>
    <row r="47" spans="1:19" ht="15.75" thickBot="1" x14ac:dyDescent="0.25">
      <c r="A47" s="22" t="s">
        <v>16</v>
      </c>
      <c r="B47" s="23">
        <f t="shared" ref="B47:L47" si="24">B42/(B35+B43+B42)*100</f>
        <v>81.52205838677925</v>
      </c>
      <c r="C47" s="23">
        <f t="shared" si="24"/>
        <v>81.398314383487758</v>
      </c>
      <c r="D47" s="23">
        <f t="shared" si="24"/>
        <v>81.286145377942191</v>
      </c>
      <c r="E47" s="23">
        <f t="shared" si="24"/>
        <v>81.183999849038642</v>
      </c>
      <c r="F47" s="23">
        <f t="shared" si="24"/>
        <v>81.090591705555852</v>
      </c>
      <c r="G47" s="23">
        <f t="shared" si="24"/>
        <v>81.004845852973546</v>
      </c>
      <c r="H47" s="23">
        <f t="shared" si="24"/>
        <v>80.92585662801784</v>
      </c>
      <c r="I47" s="23">
        <f t="shared" si="24"/>
        <v>80.852855686612202</v>
      </c>
      <c r="J47" s="23">
        <f t="shared" si="24"/>
        <v>80.785186928477273</v>
      </c>
      <c r="K47" s="23">
        <f t="shared" si="24"/>
        <v>80.722286722848978</v>
      </c>
      <c r="L47" s="24">
        <f t="shared" si="24"/>
        <v>80.663668172338646</v>
      </c>
      <c r="M47" s="3"/>
      <c r="N47" s="136"/>
      <c r="O47" s="74" t="s">
        <v>4</v>
      </c>
      <c r="P47" s="106" t="s">
        <v>69</v>
      </c>
      <c r="Q47" s="63">
        <f t="shared" si="15"/>
        <v>22</v>
      </c>
      <c r="R47" s="67" t="s">
        <v>56</v>
      </c>
      <c r="S47" s="65">
        <f>S44/SUM(S43:S45)*100</f>
        <v>27.775180383281423</v>
      </c>
    </row>
    <row r="48" spans="1:19" ht="15.75" thickBo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37"/>
      <c r="O48" s="83" t="s">
        <v>3</v>
      </c>
      <c r="P48" s="107" t="s">
        <v>68</v>
      </c>
      <c r="Q48" s="86">
        <f t="shared" si="15"/>
        <v>23</v>
      </c>
      <c r="R48" s="85" t="s">
        <v>56</v>
      </c>
      <c r="S48" s="93">
        <f>S45/SUM(S43:S45)*100</f>
        <v>1.7034396364721167</v>
      </c>
    </row>
    <row r="49" spans="1:19" ht="16.5" thickBot="1" x14ac:dyDescent="0.3">
      <c r="A49" s="46" t="s">
        <v>0</v>
      </c>
      <c r="B49" s="47" t="s">
        <v>47</v>
      </c>
      <c r="C49" s="48"/>
      <c r="D49" s="204" t="s">
        <v>1</v>
      </c>
      <c r="E49" s="205"/>
      <c r="F49" s="206">
        <f>+F50</f>
        <v>15.234042553191488</v>
      </c>
      <c r="G49" s="203" t="s">
        <v>22</v>
      </c>
      <c r="H49" s="152" t="s">
        <v>25</v>
      </c>
      <c r="I49" s="153"/>
      <c r="J49" s="166" t="s">
        <v>95</v>
      </c>
      <c r="K49" s="167"/>
      <c r="L49" s="5"/>
      <c r="M49" s="5"/>
      <c r="N49" s="124" t="s">
        <v>27</v>
      </c>
      <c r="O49" s="79"/>
      <c r="P49" s="80"/>
      <c r="Q49" s="62">
        <f t="shared" si="15"/>
        <v>24</v>
      </c>
      <c r="R49" s="94"/>
      <c r="S49" s="91">
        <v>1</v>
      </c>
    </row>
    <row r="50" spans="1:19" ht="15.75" x14ac:dyDescent="0.25">
      <c r="A50" s="29"/>
      <c r="B50" s="31" t="s">
        <v>5</v>
      </c>
      <c r="C50" s="128">
        <v>0.71599999999999997</v>
      </c>
      <c r="D50" s="32" t="s">
        <v>17</v>
      </c>
      <c r="E50" s="74"/>
      <c r="F50" s="194">
        <f>+C50/C51</f>
        <v>15.234042553191488</v>
      </c>
      <c r="G50" s="191">
        <f>+$G$2</f>
        <v>12</v>
      </c>
      <c r="H50" s="25" t="s">
        <v>6</v>
      </c>
      <c r="I50" s="184">
        <f>$I$2</f>
        <v>0.21</v>
      </c>
      <c r="J50" s="168"/>
      <c r="K50" s="169"/>
      <c r="L50" s="5"/>
      <c r="M50" s="5"/>
      <c r="N50" s="114" t="s">
        <v>23</v>
      </c>
      <c r="O50" s="79"/>
      <c r="P50" s="108"/>
      <c r="Q50" s="62"/>
      <c r="R50" s="108"/>
      <c r="S50" s="108"/>
    </row>
    <row r="51" spans="1:19" x14ac:dyDescent="0.2">
      <c r="A51" s="29"/>
      <c r="B51" s="32" t="s">
        <v>4</v>
      </c>
      <c r="C51" s="129">
        <v>4.7E-2</v>
      </c>
      <c r="D51" s="32" t="s">
        <v>18</v>
      </c>
      <c r="E51" s="74"/>
      <c r="F51" s="194">
        <f>C50/C51/F50</f>
        <v>1</v>
      </c>
      <c r="G51" s="191">
        <f>+$G$3</f>
        <v>2</v>
      </c>
      <c r="H51" s="26" t="s">
        <v>16</v>
      </c>
      <c r="I51" s="185">
        <f>$I$3</f>
        <v>0.79</v>
      </c>
      <c r="J51" s="168"/>
      <c r="K51" s="169"/>
      <c r="L51" s="5"/>
      <c r="M51" s="5"/>
      <c r="N51" s="74" t="s">
        <v>8</v>
      </c>
      <c r="O51" s="74"/>
      <c r="P51" s="115" t="s">
        <v>71</v>
      </c>
      <c r="Q51" s="63">
        <f>+Q49+1</f>
        <v>25</v>
      </c>
      <c r="R51" s="109" t="s">
        <v>74</v>
      </c>
      <c r="S51" s="116">
        <f>+S46</f>
        <v>70.521379980246451</v>
      </c>
    </row>
    <row r="52" spans="1:19" ht="15.75" thickBot="1" x14ac:dyDescent="0.25">
      <c r="A52" s="30"/>
      <c r="B52" s="33" t="s">
        <v>3</v>
      </c>
      <c r="C52" s="130">
        <v>0</v>
      </c>
      <c r="D52" s="33" t="s">
        <v>19</v>
      </c>
      <c r="E52" s="202"/>
      <c r="F52" s="195">
        <f>+C52</f>
        <v>0</v>
      </c>
      <c r="G52" s="192">
        <f>+$G$4</f>
        <v>32</v>
      </c>
      <c r="H52" s="27"/>
      <c r="I52" s="28"/>
      <c r="J52" s="168"/>
      <c r="K52" s="169"/>
      <c r="L52" s="5"/>
      <c r="M52" s="5"/>
      <c r="N52" s="74" t="s">
        <v>9</v>
      </c>
      <c r="O52" s="74"/>
      <c r="P52" s="115" t="s">
        <v>75</v>
      </c>
      <c r="Q52" s="63">
        <f>+Q51+1</f>
        <v>26</v>
      </c>
      <c r="R52" s="109" t="s">
        <v>74</v>
      </c>
      <c r="S52" s="116">
        <f>+S51</f>
        <v>70.521379980246451</v>
      </c>
    </row>
    <row r="53" spans="1:19" ht="16.5" thickBot="1" x14ac:dyDescent="0.3">
      <c r="A53" s="142" t="s">
        <v>20</v>
      </c>
      <c r="B53" s="143"/>
      <c r="C53" s="144"/>
      <c r="D53" s="142" t="s">
        <v>21</v>
      </c>
      <c r="E53" s="143"/>
      <c r="F53" s="144"/>
      <c r="G53" s="145" t="s">
        <v>2</v>
      </c>
      <c r="H53" s="143"/>
      <c r="I53" s="144"/>
      <c r="J53" s="168"/>
      <c r="K53" s="169"/>
      <c r="L53" s="5"/>
      <c r="M53" s="5"/>
      <c r="N53" s="114" t="s">
        <v>24</v>
      </c>
      <c r="O53" s="79"/>
      <c r="P53" s="108"/>
      <c r="Q53" s="62"/>
      <c r="R53" s="108"/>
      <c r="S53" s="108"/>
    </row>
    <row r="54" spans="1:19" ht="15.75" x14ac:dyDescent="0.25">
      <c r="A54" s="11" t="s">
        <v>3</v>
      </c>
      <c r="B54" s="12" t="s">
        <v>4</v>
      </c>
      <c r="C54" s="13" t="s">
        <v>5</v>
      </c>
      <c r="D54" s="11" t="s">
        <v>3</v>
      </c>
      <c r="E54" s="12" t="s">
        <v>4</v>
      </c>
      <c r="F54" s="13" t="s">
        <v>5</v>
      </c>
      <c r="G54" s="14" t="s">
        <v>3</v>
      </c>
      <c r="H54" s="12" t="s">
        <v>4</v>
      </c>
      <c r="I54" s="13" t="s">
        <v>5</v>
      </c>
      <c r="J54" s="168"/>
      <c r="K54" s="169"/>
      <c r="L54" s="5"/>
      <c r="M54" s="5"/>
      <c r="N54" s="74" t="s">
        <v>10</v>
      </c>
      <c r="O54" s="74"/>
      <c r="P54" s="115" t="s">
        <v>72</v>
      </c>
      <c r="Q54" s="63">
        <f>+Q52+1</f>
        <v>27</v>
      </c>
      <c r="R54" s="109" t="s">
        <v>74</v>
      </c>
      <c r="S54" s="116">
        <f>+S47</f>
        <v>27.775180383281423</v>
      </c>
    </row>
    <row r="55" spans="1:19" ht="15.75" thickBot="1" x14ac:dyDescent="0.25">
      <c r="A55" s="8">
        <f>F52*100</f>
        <v>0</v>
      </c>
      <c r="B55" s="9">
        <f>(100-A55)*F51/(F50+F51)</f>
        <v>6.1598951507208399</v>
      </c>
      <c r="C55" s="10">
        <f>(100-A55)*F50/(F50+F51)</f>
        <v>93.840104849279172</v>
      </c>
      <c r="D55" s="8">
        <f>+A55/G52</f>
        <v>0</v>
      </c>
      <c r="E55" s="9">
        <f>+B55/G51</f>
        <v>3.07994757536042</v>
      </c>
      <c r="F55" s="10">
        <f>+C55/G50</f>
        <v>7.820008737439931</v>
      </c>
      <c r="G55" s="34">
        <f>+D55/SUM($D55:$F55)*100</f>
        <v>0</v>
      </c>
      <c r="H55" s="35">
        <f>+E55/SUM($D55:$F55)*100</f>
        <v>28.256513026052104</v>
      </c>
      <c r="I55" s="36">
        <f>+F55/SUM($D55:$F55)*100</f>
        <v>71.743486973947896</v>
      </c>
      <c r="J55" s="170"/>
      <c r="K55" s="171"/>
      <c r="L55" s="5"/>
      <c r="M55" s="5"/>
      <c r="N55" s="74" t="s">
        <v>9</v>
      </c>
      <c r="O55" s="76"/>
      <c r="P55" s="106" t="s">
        <v>79</v>
      </c>
      <c r="Q55" s="63">
        <f>+Q54+1</f>
        <v>28</v>
      </c>
      <c r="R55" s="109" t="s">
        <v>74</v>
      </c>
      <c r="S55" s="117">
        <f>+S54/2</f>
        <v>13.887590191640712</v>
      </c>
    </row>
    <row r="56" spans="1:19" ht="15.75" thickBot="1" x14ac:dyDescent="0.25">
      <c r="A56" s="6"/>
      <c r="B56" s="6"/>
      <c r="C56" s="6"/>
      <c r="D56" s="5"/>
      <c r="E56" s="7"/>
      <c r="F56" s="6"/>
      <c r="G56" s="6"/>
      <c r="H56" s="6"/>
      <c r="I56" s="5"/>
      <c r="J56" s="5"/>
      <c r="K56" s="5"/>
      <c r="L56" s="5"/>
      <c r="M56" s="5"/>
      <c r="N56" s="74" t="s">
        <v>11</v>
      </c>
      <c r="O56" s="76"/>
      <c r="P56" s="106" t="s">
        <v>73</v>
      </c>
      <c r="Q56" s="63">
        <f>+Q55+1</f>
        <v>29</v>
      </c>
      <c r="R56" s="109" t="s">
        <v>74</v>
      </c>
      <c r="S56" s="116">
        <f>+S48</f>
        <v>1.7034396364721167</v>
      </c>
    </row>
    <row r="57" spans="1:19" ht="16.5" thickBot="1" x14ac:dyDescent="0.3">
      <c r="A57" s="17" t="s">
        <v>7</v>
      </c>
      <c r="B57" s="131">
        <f>+B$9</f>
        <v>1</v>
      </c>
      <c r="C57" s="131">
        <f t="shared" ref="C57:L57" si="25">+C$9</f>
        <v>1.05</v>
      </c>
      <c r="D57" s="131">
        <f t="shared" si="25"/>
        <v>1.1000000000000001</v>
      </c>
      <c r="E57" s="131">
        <f t="shared" si="25"/>
        <v>1.1499999999999999</v>
      </c>
      <c r="F57" s="131">
        <f t="shared" si="25"/>
        <v>1.2</v>
      </c>
      <c r="G57" s="131">
        <f t="shared" si="25"/>
        <v>1.25</v>
      </c>
      <c r="H57" s="131">
        <f t="shared" si="25"/>
        <v>1.3</v>
      </c>
      <c r="I57" s="131">
        <f t="shared" si="25"/>
        <v>1.35</v>
      </c>
      <c r="J57" s="131">
        <f t="shared" si="25"/>
        <v>1.4</v>
      </c>
      <c r="K57" s="131">
        <f t="shared" si="25"/>
        <v>1.45</v>
      </c>
      <c r="L57" s="132">
        <f t="shared" si="25"/>
        <v>1.5</v>
      </c>
      <c r="M57" s="5"/>
      <c r="N57" s="74" t="s">
        <v>12</v>
      </c>
      <c r="O57" s="76"/>
      <c r="P57" s="106" t="s">
        <v>78</v>
      </c>
      <c r="Q57" s="63">
        <f>+Q56+1</f>
        <v>30</v>
      </c>
      <c r="R57" s="109" t="s">
        <v>74</v>
      </c>
      <c r="S57" s="117">
        <f>(S52+S55-S56)*S49</f>
        <v>82.705530535415051</v>
      </c>
    </row>
    <row r="58" spans="1:19" ht="15.75" x14ac:dyDescent="0.25">
      <c r="A58" s="16" t="s">
        <v>23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9"/>
      <c r="N58" s="74" t="s">
        <v>13</v>
      </c>
      <c r="O58" s="76"/>
      <c r="P58" s="106" t="s">
        <v>77</v>
      </c>
      <c r="Q58" s="63">
        <f>+Q57+1</f>
        <v>31</v>
      </c>
      <c r="R58" s="109" t="s">
        <v>74</v>
      </c>
      <c r="S58" s="123">
        <f>S57*$S39/$S38</f>
        <v>311.13032915703758</v>
      </c>
    </row>
    <row r="59" spans="1:19" x14ac:dyDescent="0.2">
      <c r="A59" s="4" t="s">
        <v>8</v>
      </c>
      <c r="B59" s="20">
        <f>$I55</f>
        <v>71.743486973947896</v>
      </c>
      <c r="C59" s="20">
        <f t="shared" ref="C59:L59" si="26">$I55</f>
        <v>71.743486973947896</v>
      </c>
      <c r="D59" s="20">
        <f t="shared" si="26"/>
        <v>71.743486973947896</v>
      </c>
      <c r="E59" s="20">
        <f t="shared" si="26"/>
        <v>71.743486973947896</v>
      </c>
      <c r="F59" s="20">
        <f t="shared" si="26"/>
        <v>71.743486973947896</v>
      </c>
      <c r="G59" s="20">
        <f t="shared" si="26"/>
        <v>71.743486973947896</v>
      </c>
      <c r="H59" s="20">
        <f t="shared" si="26"/>
        <v>71.743486973947896</v>
      </c>
      <c r="I59" s="20">
        <f t="shared" si="26"/>
        <v>71.743486973947896</v>
      </c>
      <c r="J59" s="20">
        <f t="shared" si="26"/>
        <v>71.743486973947896</v>
      </c>
      <c r="K59" s="20">
        <f t="shared" si="26"/>
        <v>71.743486973947896</v>
      </c>
      <c r="L59" s="21">
        <f t="shared" si="26"/>
        <v>71.743486973947896</v>
      </c>
      <c r="M59" s="3"/>
      <c r="N59" s="74" t="s">
        <v>14</v>
      </c>
      <c r="O59" s="76"/>
      <c r="P59" s="106" t="s">
        <v>76</v>
      </c>
      <c r="Q59" s="63">
        <f>+Q58+1</f>
        <v>32</v>
      </c>
      <c r="R59" s="109" t="s">
        <v>74</v>
      </c>
      <c r="S59" s="123">
        <f>S57-$S$57</f>
        <v>0</v>
      </c>
    </row>
    <row r="60" spans="1:19" ht="16.5" thickBot="1" x14ac:dyDescent="0.3">
      <c r="A60" s="4" t="s">
        <v>9</v>
      </c>
      <c r="B60" s="20">
        <f t="shared" ref="B60:L60" si="27">B59</f>
        <v>71.743486973947896</v>
      </c>
      <c r="C60" s="20">
        <f t="shared" si="27"/>
        <v>71.743486973947896</v>
      </c>
      <c r="D60" s="20">
        <f t="shared" si="27"/>
        <v>71.743486973947896</v>
      </c>
      <c r="E60" s="20">
        <f t="shared" si="27"/>
        <v>71.743486973947896</v>
      </c>
      <c r="F60" s="20">
        <f t="shared" si="27"/>
        <v>71.743486973947896</v>
      </c>
      <c r="G60" s="20">
        <f t="shared" si="27"/>
        <v>71.743486973947896</v>
      </c>
      <c r="H60" s="20">
        <f t="shared" si="27"/>
        <v>71.743486973947896</v>
      </c>
      <c r="I60" s="20">
        <f t="shared" si="27"/>
        <v>71.743486973947896</v>
      </c>
      <c r="J60" s="20">
        <f t="shared" si="27"/>
        <v>71.743486973947896</v>
      </c>
      <c r="K60" s="20">
        <f t="shared" si="27"/>
        <v>71.743486973947896</v>
      </c>
      <c r="L60" s="21">
        <f t="shared" si="27"/>
        <v>71.743486973947896</v>
      </c>
      <c r="M60" s="3"/>
      <c r="N60" s="114" t="s">
        <v>26</v>
      </c>
      <c r="O60" s="79"/>
      <c r="P60" s="108"/>
      <c r="Q60" s="62"/>
      <c r="R60" s="108"/>
      <c r="S60" s="108"/>
    </row>
    <row r="61" spans="1:19" ht="15.75" x14ac:dyDescent="0.25">
      <c r="A61" s="16" t="s">
        <v>24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9"/>
      <c r="N61" s="74" t="s">
        <v>15</v>
      </c>
      <c r="O61" s="76"/>
      <c r="P61" s="106" t="s">
        <v>80</v>
      </c>
      <c r="Q61" s="63">
        <f>+Q59+1</f>
        <v>33</v>
      </c>
      <c r="R61" s="109" t="s">
        <v>56</v>
      </c>
      <c r="S61" s="117">
        <f>+S51/(S51+S59+S58)*100</f>
        <v>18.477941613220757</v>
      </c>
    </row>
    <row r="62" spans="1:19" x14ac:dyDescent="0.2">
      <c r="A62" s="4" t="s">
        <v>10</v>
      </c>
      <c r="B62" s="20">
        <f>$H55</f>
        <v>28.256513026052104</v>
      </c>
      <c r="C62" s="20">
        <f t="shared" ref="C62:L62" si="28">$H55</f>
        <v>28.256513026052104</v>
      </c>
      <c r="D62" s="20">
        <f t="shared" si="28"/>
        <v>28.256513026052104</v>
      </c>
      <c r="E62" s="20">
        <f t="shared" si="28"/>
        <v>28.256513026052104</v>
      </c>
      <c r="F62" s="20">
        <f t="shared" si="28"/>
        <v>28.256513026052104</v>
      </c>
      <c r="G62" s="20">
        <f t="shared" si="28"/>
        <v>28.256513026052104</v>
      </c>
      <c r="H62" s="20">
        <f t="shared" si="28"/>
        <v>28.256513026052104</v>
      </c>
      <c r="I62" s="20">
        <f t="shared" si="28"/>
        <v>28.256513026052104</v>
      </c>
      <c r="J62" s="20">
        <f t="shared" si="28"/>
        <v>28.256513026052104</v>
      </c>
      <c r="K62" s="20">
        <f t="shared" si="28"/>
        <v>28.256513026052104</v>
      </c>
      <c r="L62" s="21">
        <f t="shared" si="28"/>
        <v>28.256513026052104</v>
      </c>
      <c r="M62" s="3"/>
      <c r="N62" s="74" t="s">
        <v>6</v>
      </c>
      <c r="O62" s="76"/>
      <c r="P62" s="106" t="s">
        <v>81</v>
      </c>
      <c r="Q62" s="63">
        <f>+Q61+1</f>
        <v>34</v>
      </c>
      <c r="R62" s="109" t="s">
        <v>56</v>
      </c>
      <c r="S62" s="117">
        <f>+S59/(S51+S59+S58)*100</f>
        <v>0</v>
      </c>
    </row>
    <row r="63" spans="1:19" x14ac:dyDescent="0.2">
      <c r="A63" s="4" t="s">
        <v>9</v>
      </c>
      <c r="B63" s="20">
        <f t="shared" ref="B63:L63" si="29">B62/2</f>
        <v>14.128256513026052</v>
      </c>
      <c r="C63" s="20">
        <f t="shared" si="29"/>
        <v>14.128256513026052</v>
      </c>
      <c r="D63" s="20">
        <f t="shared" si="29"/>
        <v>14.128256513026052</v>
      </c>
      <c r="E63" s="20">
        <f t="shared" si="29"/>
        <v>14.128256513026052</v>
      </c>
      <c r="F63" s="20">
        <f>F62/2</f>
        <v>14.128256513026052</v>
      </c>
      <c r="G63" s="20">
        <f t="shared" si="29"/>
        <v>14.128256513026052</v>
      </c>
      <c r="H63" s="20">
        <f t="shared" si="29"/>
        <v>14.128256513026052</v>
      </c>
      <c r="I63" s="20">
        <f t="shared" si="29"/>
        <v>14.128256513026052</v>
      </c>
      <c r="J63" s="20">
        <f t="shared" si="29"/>
        <v>14.128256513026052</v>
      </c>
      <c r="K63" s="20">
        <f t="shared" si="29"/>
        <v>14.128256513026052</v>
      </c>
      <c r="L63" s="21">
        <f t="shared" si="29"/>
        <v>14.128256513026052</v>
      </c>
      <c r="M63" s="3"/>
      <c r="N63" s="83" t="s">
        <v>16</v>
      </c>
      <c r="O63" s="84"/>
      <c r="P63" s="107" t="s">
        <v>82</v>
      </c>
      <c r="Q63" s="86">
        <f>+Q62+1</f>
        <v>35</v>
      </c>
      <c r="R63" s="110" t="s">
        <v>56</v>
      </c>
      <c r="S63" s="126">
        <f>+S58/(S51+S59+S58)*100</f>
        <v>81.52205838677925</v>
      </c>
    </row>
    <row r="64" spans="1:19" ht="15.75" x14ac:dyDescent="0.25">
      <c r="A64" s="4" t="s">
        <v>11</v>
      </c>
      <c r="B64" s="20">
        <f>$G55</f>
        <v>0</v>
      </c>
      <c r="C64" s="20">
        <f t="shared" ref="C64:L64" si="30">$G55</f>
        <v>0</v>
      </c>
      <c r="D64" s="20">
        <f t="shared" si="30"/>
        <v>0</v>
      </c>
      <c r="E64" s="20">
        <f t="shared" si="30"/>
        <v>0</v>
      </c>
      <c r="F64" s="20">
        <f t="shared" si="30"/>
        <v>0</v>
      </c>
      <c r="G64" s="20">
        <f t="shared" si="30"/>
        <v>0</v>
      </c>
      <c r="H64" s="20">
        <f t="shared" si="30"/>
        <v>0</v>
      </c>
      <c r="I64" s="20">
        <f t="shared" si="30"/>
        <v>0</v>
      </c>
      <c r="J64" s="20">
        <f t="shared" si="30"/>
        <v>0</v>
      </c>
      <c r="K64" s="20">
        <f t="shared" si="30"/>
        <v>0</v>
      </c>
      <c r="L64" s="21">
        <f t="shared" si="30"/>
        <v>0</v>
      </c>
      <c r="M64" s="3"/>
      <c r="N64" s="125" t="s">
        <v>27</v>
      </c>
      <c r="O64" s="74" t="s">
        <v>70</v>
      </c>
      <c r="P64" s="67"/>
      <c r="Q64" s="63">
        <f>+Q63+1</f>
        <v>36</v>
      </c>
      <c r="R64" s="66"/>
      <c r="S64" s="73">
        <v>1.2</v>
      </c>
    </row>
    <row r="65" spans="1:19" ht="15.75" x14ac:dyDescent="0.25">
      <c r="A65" s="4" t="s">
        <v>12</v>
      </c>
      <c r="B65" s="20">
        <f>(B60+B63-B64)*B57</f>
        <v>85.871743486973941</v>
      </c>
      <c r="C65" s="20">
        <f t="shared" ref="C65:L65" si="31">(C60+C63-C64)*C57</f>
        <v>90.165330661322642</v>
      </c>
      <c r="D65" s="20">
        <f t="shared" si="31"/>
        <v>94.458917835671343</v>
      </c>
      <c r="E65" s="20">
        <f t="shared" si="31"/>
        <v>98.75250501002003</v>
      </c>
      <c r="F65" s="20">
        <f t="shared" si="31"/>
        <v>103.04609218436873</v>
      </c>
      <c r="G65" s="20">
        <f t="shared" si="31"/>
        <v>107.33967935871743</v>
      </c>
      <c r="H65" s="20">
        <f t="shared" si="31"/>
        <v>111.63326653306612</v>
      </c>
      <c r="I65" s="20">
        <f t="shared" si="31"/>
        <v>115.92685370741482</v>
      </c>
      <c r="J65" s="20">
        <f t="shared" si="31"/>
        <v>120.22044088176351</v>
      </c>
      <c r="K65" s="20">
        <f t="shared" si="31"/>
        <v>124.51402805611221</v>
      </c>
      <c r="L65" s="21">
        <f t="shared" si="31"/>
        <v>128.8076152304609</v>
      </c>
      <c r="M65" s="3"/>
      <c r="N65" s="114" t="s">
        <v>23</v>
      </c>
      <c r="O65" s="79"/>
      <c r="P65" s="108"/>
      <c r="Q65" s="62"/>
      <c r="R65" s="108"/>
      <c r="S65" s="108"/>
    </row>
    <row r="66" spans="1:19" x14ac:dyDescent="0.2">
      <c r="A66" s="4" t="s">
        <v>13</v>
      </c>
      <c r="B66" s="20">
        <f t="shared" ref="B66:L66" si="32">B65*$I51/$I50</f>
        <v>323.0413207367115</v>
      </c>
      <c r="C66" s="20">
        <f t="shared" si="32"/>
        <v>339.1933867735471</v>
      </c>
      <c r="D66" s="20">
        <f t="shared" si="32"/>
        <v>355.34545281038271</v>
      </c>
      <c r="E66" s="20">
        <f t="shared" si="32"/>
        <v>371.49751884721826</v>
      </c>
      <c r="F66" s="20">
        <f t="shared" si="32"/>
        <v>387.64958488405381</v>
      </c>
      <c r="G66" s="20">
        <f t="shared" si="32"/>
        <v>403.80165092088941</v>
      </c>
      <c r="H66" s="20">
        <f t="shared" si="32"/>
        <v>419.95371695772496</v>
      </c>
      <c r="I66" s="20">
        <f t="shared" si="32"/>
        <v>436.10578299456057</v>
      </c>
      <c r="J66" s="20">
        <f t="shared" si="32"/>
        <v>452.25784903139606</v>
      </c>
      <c r="K66" s="20">
        <f t="shared" si="32"/>
        <v>468.40991506823167</v>
      </c>
      <c r="L66" s="21">
        <f t="shared" si="32"/>
        <v>484.56198110506728</v>
      </c>
      <c r="M66" s="3"/>
      <c r="N66" s="74" t="s">
        <v>8</v>
      </c>
      <c r="O66" s="74"/>
      <c r="P66" s="115" t="s">
        <v>71</v>
      </c>
      <c r="Q66" s="63">
        <f>+Q64+1</f>
        <v>37</v>
      </c>
      <c r="R66" s="109" t="s">
        <v>74</v>
      </c>
      <c r="S66" s="116">
        <f>+S46</f>
        <v>70.521379980246451</v>
      </c>
    </row>
    <row r="67" spans="1:19" ht="15.75" thickBot="1" x14ac:dyDescent="0.25">
      <c r="A67" s="4" t="s">
        <v>14</v>
      </c>
      <c r="B67" s="20">
        <v>0</v>
      </c>
      <c r="C67" s="20">
        <f t="shared" ref="C67:L67" si="33">C65-$B65</f>
        <v>4.2935871743487013</v>
      </c>
      <c r="D67" s="20">
        <f t="shared" si="33"/>
        <v>8.5871743486974026</v>
      </c>
      <c r="E67" s="20">
        <f t="shared" si="33"/>
        <v>12.88076152304609</v>
      </c>
      <c r="F67" s="20">
        <f>F65-$B65</f>
        <v>17.174348697394791</v>
      </c>
      <c r="G67" s="20">
        <f t="shared" si="33"/>
        <v>21.467935871743492</v>
      </c>
      <c r="H67" s="20">
        <f t="shared" si="33"/>
        <v>25.761523046092179</v>
      </c>
      <c r="I67" s="20">
        <f t="shared" si="33"/>
        <v>30.055110220440881</v>
      </c>
      <c r="J67" s="20">
        <f t="shared" si="33"/>
        <v>34.348697394789568</v>
      </c>
      <c r="K67" s="20">
        <f t="shared" si="33"/>
        <v>38.642284569138269</v>
      </c>
      <c r="L67" s="21">
        <f t="shared" si="33"/>
        <v>42.935871743486956</v>
      </c>
      <c r="M67" s="3"/>
      <c r="N67" s="74" t="s">
        <v>9</v>
      </c>
      <c r="O67" s="74"/>
      <c r="P67" s="115" t="s">
        <v>83</v>
      </c>
      <c r="Q67" s="63">
        <f>+Q66+1</f>
        <v>38</v>
      </c>
      <c r="R67" s="109" t="s">
        <v>74</v>
      </c>
      <c r="S67" s="116">
        <f>+S66</f>
        <v>70.521379980246451</v>
      </c>
    </row>
    <row r="68" spans="1:19" ht="15.75" x14ac:dyDescent="0.25">
      <c r="A68" s="16" t="s">
        <v>26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9"/>
      <c r="N68" s="114" t="s">
        <v>24</v>
      </c>
      <c r="O68" s="79"/>
      <c r="P68" s="108"/>
      <c r="Q68" s="62"/>
      <c r="R68" s="108"/>
      <c r="S68" s="108"/>
    </row>
    <row r="69" spans="1:19" x14ac:dyDescent="0.2">
      <c r="A69" s="4" t="s">
        <v>15</v>
      </c>
      <c r="B69" s="20">
        <f t="shared" ref="B69:L69" si="34">B59/(B59+B66+B67)*100</f>
        <v>18.1728084700081</v>
      </c>
      <c r="C69" s="20">
        <f t="shared" si="34"/>
        <v>17.277992277992276</v>
      </c>
      <c r="D69" s="20">
        <f t="shared" si="34"/>
        <v>16.467160958941612</v>
      </c>
      <c r="E69" s="20">
        <f t="shared" si="34"/>
        <v>15.729020649831579</v>
      </c>
      <c r="F69" s="20">
        <f t="shared" si="34"/>
        <v>15.054215600877061</v>
      </c>
      <c r="G69" s="20">
        <f t="shared" si="34"/>
        <v>14.434929534196076</v>
      </c>
      <c r="H69" s="20">
        <f t="shared" si="34"/>
        <v>13.864581508358768</v>
      </c>
      <c r="I69" s="20">
        <f t="shared" si="34"/>
        <v>13.337591143754327</v>
      </c>
      <c r="J69" s="20">
        <f t="shared" si="34"/>
        <v>12.849195429801998</v>
      </c>
      <c r="K69" s="20">
        <f t="shared" si="34"/>
        <v>12.395304359295654</v>
      </c>
      <c r="L69" s="21">
        <f t="shared" si="34"/>
        <v>11.972386116618495</v>
      </c>
      <c r="M69" s="3"/>
      <c r="N69" s="74" t="s">
        <v>10</v>
      </c>
      <c r="O69" s="74"/>
      <c r="P69" s="115" t="s">
        <v>72</v>
      </c>
      <c r="Q69" s="63">
        <f>+Q67+1</f>
        <v>39</v>
      </c>
      <c r="R69" s="109" t="s">
        <v>74</v>
      </c>
      <c r="S69" s="116">
        <f>+S47</f>
        <v>27.775180383281423</v>
      </c>
    </row>
    <row r="70" spans="1:19" x14ac:dyDescent="0.2">
      <c r="A70" s="4" t="s">
        <v>6</v>
      </c>
      <c r="B70" s="55">
        <f t="shared" ref="B70:L70" si="35">(B67)/(B59+B66+B67)*100</f>
        <v>0</v>
      </c>
      <c r="C70" s="55">
        <f t="shared" si="35"/>
        <v>1.0340250965250974</v>
      </c>
      <c r="D70" s="55">
        <f t="shared" si="35"/>
        <v>1.9709995728789071</v>
      </c>
      <c r="E70" s="55">
        <f t="shared" si="35"/>
        <v>2.8239743080109623</v>
      </c>
      <c r="F70" s="55">
        <f t="shared" si="35"/>
        <v>3.6037605502658221</v>
      </c>
      <c r="G70" s="55">
        <f t="shared" si="35"/>
        <v>4.3193905763987575</v>
      </c>
      <c r="H70" s="55">
        <f t="shared" si="35"/>
        <v>4.9784691421774285</v>
      </c>
      <c r="I70" s="55">
        <f t="shared" si="35"/>
        <v>5.5874447815211035</v>
      </c>
      <c r="J70" s="55">
        <f t="shared" si="35"/>
        <v>6.1518214990727982</v>
      </c>
      <c r="K70" s="55">
        <f t="shared" si="35"/>
        <v>6.6763255951988381</v>
      </c>
      <c r="L70" s="56">
        <f t="shared" si="35"/>
        <v>7.1650383393450037</v>
      </c>
      <c r="M70" s="2"/>
      <c r="N70" s="74" t="s">
        <v>9</v>
      </c>
      <c r="O70" s="76"/>
      <c r="P70" s="106" t="s">
        <v>84</v>
      </c>
      <c r="Q70" s="63">
        <f>+Q69+1</f>
        <v>40</v>
      </c>
      <c r="R70" s="109" t="s">
        <v>74</v>
      </c>
      <c r="S70" s="117">
        <f>+S69/2</f>
        <v>13.887590191640712</v>
      </c>
    </row>
    <row r="71" spans="1:19" ht="15.75" thickBot="1" x14ac:dyDescent="0.25">
      <c r="A71" s="22" t="s">
        <v>16</v>
      </c>
      <c r="B71" s="23">
        <f t="shared" ref="B71:L71" si="36">B66/(B59+B67+B66)*100</f>
        <v>81.827191529991907</v>
      </c>
      <c r="C71" s="23">
        <f t="shared" si="36"/>
        <v>81.687982625482618</v>
      </c>
      <c r="D71" s="23">
        <f t="shared" si="36"/>
        <v>81.561839468179471</v>
      </c>
      <c r="E71" s="23">
        <f t="shared" si="36"/>
        <v>81.447005042157457</v>
      </c>
      <c r="F71" s="23">
        <f t="shared" si="36"/>
        <v>81.34202384885711</v>
      </c>
      <c r="G71" s="23">
        <f t="shared" si="36"/>
        <v>81.245679889405167</v>
      </c>
      <c r="H71" s="23">
        <f t="shared" si="36"/>
        <v>81.156949349463787</v>
      </c>
      <c r="I71" s="23">
        <f t="shared" si="36"/>
        <v>81.074964074724591</v>
      </c>
      <c r="J71" s="23">
        <f t="shared" si="36"/>
        <v>80.99898307112521</v>
      </c>
      <c r="K71" s="23">
        <f t="shared" si="36"/>
        <v>80.928370045505503</v>
      </c>
      <c r="L71" s="24">
        <f t="shared" si="36"/>
        <v>80.862575544036503</v>
      </c>
      <c r="M71" s="3"/>
      <c r="N71" s="74" t="s">
        <v>11</v>
      </c>
      <c r="O71" s="76"/>
      <c r="P71" s="106" t="s">
        <v>73</v>
      </c>
      <c r="Q71" s="63">
        <f>+Q70+1</f>
        <v>41</v>
      </c>
      <c r="R71" s="109" t="s">
        <v>74</v>
      </c>
      <c r="S71" s="116">
        <f>+S48</f>
        <v>1.7034396364721167</v>
      </c>
    </row>
    <row r="72" spans="1:19" ht="15.75" thickBo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74" t="s">
        <v>12</v>
      </c>
      <c r="O72" s="76"/>
      <c r="P72" s="106" t="s">
        <v>85</v>
      </c>
      <c r="Q72" s="63">
        <f>+Q71+1</f>
        <v>42</v>
      </c>
      <c r="R72" s="109" t="s">
        <v>74</v>
      </c>
      <c r="S72" s="117">
        <f>(S67+S70-S71)*S64</f>
        <v>99.246636642498061</v>
      </c>
    </row>
    <row r="73" spans="1:19" ht="16.5" thickBot="1" x14ac:dyDescent="0.3">
      <c r="A73" s="52" t="s">
        <v>0</v>
      </c>
      <c r="B73" s="53" t="s">
        <v>47</v>
      </c>
      <c r="C73" s="54"/>
      <c r="D73" s="208" t="s">
        <v>1</v>
      </c>
      <c r="E73" s="209"/>
      <c r="F73" s="210">
        <f>+F74</f>
        <v>9.526315789473685</v>
      </c>
      <c r="G73" s="207" t="s">
        <v>22</v>
      </c>
      <c r="H73" s="140" t="s">
        <v>25</v>
      </c>
      <c r="I73" s="141"/>
      <c r="J73" s="172" t="s">
        <v>96</v>
      </c>
      <c r="K73" s="173"/>
      <c r="L73" s="5"/>
      <c r="M73" s="5"/>
      <c r="N73" s="74" t="s">
        <v>13</v>
      </c>
      <c r="O73" s="76"/>
      <c r="P73" s="106" t="s">
        <v>86</v>
      </c>
      <c r="Q73" s="63">
        <f>+Q72+1</f>
        <v>43</v>
      </c>
      <c r="R73" s="109" t="s">
        <v>74</v>
      </c>
      <c r="S73" s="123">
        <f>S72*$S39/$S38</f>
        <v>373.35639498844512</v>
      </c>
    </row>
    <row r="74" spans="1:19" x14ac:dyDescent="0.2">
      <c r="A74" s="29"/>
      <c r="B74" s="31" t="s">
        <v>5</v>
      </c>
      <c r="C74" s="128">
        <v>0.90500000000000003</v>
      </c>
      <c r="D74" s="32" t="s">
        <v>17</v>
      </c>
      <c r="E74" s="74"/>
      <c r="F74" s="194">
        <f>+C74/C75</f>
        <v>9.526315789473685</v>
      </c>
      <c r="G74" s="191">
        <f>+$G$2</f>
        <v>12</v>
      </c>
      <c r="H74" s="25" t="s">
        <v>6</v>
      </c>
      <c r="I74" s="184">
        <f>$I$2</f>
        <v>0.21</v>
      </c>
      <c r="J74" s="174"/>
      <c r="K74" s="175"/>
      <c r="L74" s="5"/>
      <c r="M74" s="5"/>
      <c r="N74" s="74" t="s">
        <v>14</v>
      </c>
      <c r="O74" s="76"/>
      <c r="P74" s="106" t="s">
        <v>87</v>
      </c>
      <c r="Q74" s="63">
        <f>+Q73+1</f>
        <v>44</v>
      </c>
      <c r="R74" s="109" t="s">
        <v>74</v>
      </c>
      <c r="S74" s="123">
        <f>S72-$S$57</f>
        <v>16.54110610708301</v>
      </c>
    </row>
    <row r="75" spans="1:19" ht="15.75" x14ac:dyDescent="0.25">
      <c r="A75" s="29"/>
      <c r="B75" s="32" t="s">
        <v>4</v>
      </c>
      <c r="C75" s="129">
        <v>9.5000000000000001E-2</v>
      </c>
      <c r="D75" s="32" t="s">
        <v>18</v>
      </c>
      <c r="E75" s="74"/>
      <c r="F75" s="194">
        <f>C74/C75/F74</f>
        <v>1</v>
      </c>
      <c r="G75" s="191">
        <f>+$G$3</f>
        <v>2</v>
      </c>
      <c r="H75" s="26" t="s">
        <v>16</v>
      </c>
      <c r="I75" s="185">
        <f>$I$3</f>
        <v>0.79</v>
      </c>
      <c r="J75" s="174"/>
      <c r="K75" s="175"/>
      <c r="L75" s="5"/>
      <c r="M75" s="5"/>
      <c r="N75" s="114" t="s">
        <v>26</v>
      </c>
      <c r="O75" s="79"/>
      <c r="P75" s="108"/>
      <c r="Q75" s="62"/>
      <c r="R75" s="108"/>
      <c r="S75" s="108"/>
    </row>
    <row r="76" spans="1:19" ht="15.75" thickBot="1" x14ac:dyDescent="0.25">
      <c r="A76" s="30"/>
      <c r="B76" s="33" t="s">
        <v>3</v>
      </c>
      <c r="C76" s="130">
        <v>0</v>
      </c>
      <c r="D76" s="33" t="s">
        <v>19</v>
      </c>
      <c r="E76" s="202"/>
      <c r="F76" s="195">
        <f>+C76</f>
        <v>0</v>
      </c>
      <c r="G76" s="192">
        <f>+$G$4</f>
        <v>32</v>
      </c>
      <c r="H76" s="27"/>
      <c r="I76" s="28"/>
      <c r="J76" s="174"/>
      <c r="K76" s="175"/>
      <c r="L76" s="5"/>
      <c r="M76" s="5"/>
      <c r="N76" s="74" t="s">
        <v>15</v>
      </c>
      <c r="O76" s="76"/>
      <c r="P76" s="106" t="s">
        <v>88</v>
      </c>
      <c r="Q76" s="63">
        <f>+Q74+1</f>
        <v>45</v>
      </c>
      <c r="R76" s="109" t="s">
        <v>56</v>
      </c>
      <c r="S76" s="117">
        <f>+S66/(S66+S74+S73)*100</f>
        <v>15.316787142932181</v>
      </c>
    </row>
    <row r="77" spans="1:19" ht="16.5" thickBot="1" x14ac:dyDescent="0.3">
      <c r="A77" s="142" t="s">
        <v>20</v>
      </c>
      <c r="B77" s="143"/>
      <c r="C77" s="144"/>
      <c r="D77" s="142" t="s">
        <v>21</v>
      </c>
      <c r="E77" s="143"/>
      <c r="F77" s="144"/>
      <c r="G77" s="145" t="s">
        <v>2</v>
      </c>
      <c r="H77" s="143"/>
      <c r="I77" s="144"/>
      <c r="J77" s="174"/>
      <c r="K77" s="175"/>
      <c r="L77" s="5"/>
      <c r="M77" s="5"/>
      <c r="N77" s="74" t="s">
        <v>6</v>
      </c>
      <c r="O77" s="76"/>
      <c r="P77" s="106" t="s">
        <v>89</v>
      </c>
      <c r="Q77" s="63">
        <f>+Q76+1</f>
        <v>46</v>
      </c>
      <c r="R77" s="109" t="s">
        <v>56</v>
      </c>
      <c r="S77" s="117">
        <f>+S74/(S66+S74+S73)*100</f>
        <v>3.5926211515119677</v>
      </c>
    </row>
    <row r="78" spans="1:19" ht="15.75" x14ac:dyDescent="0.25">
      <c r="A78" s="11" t="s">
        <v>3</v>
      </c>
      <c r="B78" s="12" t="s">
        <v>4</v>
      </c>
      <c r="C78" s="13" t="s">
        <v>5</v>
      </c>
      <c r="D78" s="11" t="s">
        <v>3</v>
      </c>
      <c r="E78" s="12" t="s">
        <v>4</v>
      </c>
      <c r="F78" s="13" t="s">
        <v>5</v>
      </c>
      <c r="G78" s="14" t="s">
        <v>3</v>
      </c>
      <c r="H78" s="12" t="s">
        <v>4</v>
      </c>
      <c r="I78" s="13" t="s">
        <v>5</v>
      </c>
      <c r="J78" s="174"/>
      <c r="K78" s="175"/>
      <c r="L78" s="5"/>
      <c r="M78" s="5"/>
      <c r="N78" s="83" t="s">
        <v>16</v>
      </c>
      <c r="O78" s="84"/>
      <c r="P78" s="107" t="s">
        <v>90</v>
      </c>
      <c r="Q78" s="86">
        <f>+Q77+1</f>
        <v>47</v>
      </c>
      <c r="R78" s="110" t="s">
        <v>56</v>
      </c>
      <c r="S78" s="126">
        <f>+S73/(S66+S74+S73)*100</f>
        <v>81.090591705555852</v>
      </c>
    </row>
    <row r="79" spans="1:19" ht="15.75" thickBot="1" x14ac:dyDescent="0.25">
      <c r="A79" s="8">
        <f>F76*100</f>
        <v>0</v>
      </c>
      <c r="B79" s="9">
        <f>(100-A79)*F75/(F74+F75)</f>
        <v>9.5</v>
      </c>
      <c r="C79" s="10">
        <f>(100-A79)*F74/(F74+F75)</f>
        <v>90.5</v>
      </c>
      <c r="D79" s="8">
        <f>+A79/G76</f>
        <v>0</v>
      </c>
      <c r="E79" s="9">
        <f>+B79/G75</f>
        <v>4.75</v>
      </c>
      <c r="F79" s="10">
        <f>+C79/G74</f>
        <v>7.541666666666667</v>
      </c>
      <c r="G79" s="34">
        <f>+D79/SUM($D79:$F79)*100</f>
        <v>0</v>
      </c>
      <c r="H79" s="35">
        <f>+E79/SUM($D79:$F79)*100</f>
        <v>38.644067796610166</v>
      </c>
      <c r="I79" s="36">
        <f>+F79/SUM($D79:$F79)*100</f>
        <v>61.355932203389827</v>
      </c>
      <c r="J79" s="176"/>
      <c r="K79" s="177"/>
      <c r="L79" s="5"/>
      <c r="M79" s="5"/>
    </row>
    <row r="80" spans="1:19" ht="15.75" thickBot="1" x14ac:dyDescent="0.25">
      <c r="A80" s="6"/>
      <c r="B80" s="6"/>
      <c r="C80" s="6"/>
      <c r="D80" s="5"/>
      <c r="E80" s="7"/>
      <c r="F80" s="6"/>
      <c r="G80" s="6"/>
      <c r="H80" s="6"/>
      <c r="I80" s="5"/>
      <c r="J80" s="5"/>
      <c r="K80" s="5"/>
      <c r="L80" s="5"/>
      <c r="M80" s="5"/>
    </row>
    <row r="81" spans="1:14" ht="16.5" thickBot="1" x14ac:dyDescent="0.3">
      <c r="A81" s="17" t="s">
        <v>7</v>
      </c>
      <c r="B81" s="131">
        <f>+B$9</f>
        <v>1</v>
      </c>
      <c r="C81" s="131">
        <f t="shared" ref="C81:L81" si="37">+C$9</f>
        <v>1.05</v>
      </c>
      <c r="D81" s="131">
        <f t="shared" si="37"/>
        <v>1.1000000000000001</v>
      </c>
      <c r="E81" s="131">
        <f t="shared" si="37"/>
        <v>1.1499999999999999</v>
      </c>
      <c r="F81" s="131">
        <f t="shared" si="37"/>
        <v>1.2</v>
      </c>
      <c r="G81" s="131">
        <f t="shared" si="37"/>
        <v>1.25</v>
      </c>
      <c r="H81" s="131">
        <f t="shared" si="37"/>
        <v>1.3</v>
      </c>
      <c r="I81" s="131">
        <f t="shared" si="37"/>
        <v>1.35</v>
      </c>
      <c r="J81" s="131">
        <f t="shared" si="37"/>
        <v>1.4</v>
      </c>
      <c r="K81" s="131">
        <f t="shared" si="37"/>
        <v>1.45</v>
      </c>
      <c r="L81" s="132">
        <f t="shared" si="37"/>
        <v>1.5</v>
      </c>
      <c r="M81" s="5"/>
      <c r="N81" s="67"/>
    </row>
    <row r="82" spans="1:14" ht="15.75" x14ac:dyDescent="0.25">
      <c r="A82" s="16" t="s">
        <v>23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9"/>
      <c r="N82" s="67"/>
    </row>
    <row r="83" spans="1:14" x14ac:dyDescent="0.2">
      <c r="A83" s="4" t="s">
        <v>8</v>
      </c>
      <c r="B83" s="20">
        <f>$I79</f>
        <v>61.355932203389827</v>
      </c>
      <c r="C83" s="20">
        <f t="shared" ref="C83:L83" si="38">$I79</f>
        <v>61.355932203389827</v>
      </c>
      <c r="D83" s="20">
        <f t="shared" si="38"/>
        <v>61.355932203389827</v>
      </c>
      <c r="E83" s="20">
        <f t="shared" si="38"/>
        <v>61.355932203389827</v>
      </c>
      <c r="F83" s="20">
        <f t="shared" si="38"/>
        <v>61.355932203389827</v>
      </c>
      <c r="G83" s="20">
        <f t="shared" si="38"/>
        <v>61.355932203389827</v>
      </c>
      <c r="H83" s="20">
        <f t="shared" si="38"/>
        <v>61.355932203389827</v>
      </c>
      <c r="I83" s="20">
        <f t="shared" si="38"/>
        <v>61.355932203389827</v>
      </c>
      <c r="J83" s="20">
        <f t="shared" si="38"/>
        <v>61.355932203389827</v>
      </c>
      <c r="K83" s="20">
        <f t="shared" si="38"/>
        <v>61.355932203389827</v>
      </c>
      <c r="L83" s="21">
        <f t="shared" si="38"/>
        <v>61.355932203389827</v>
      </c>
      <c r="M83" s="3"/>
      <c r="N83" s="67"/>
    </row>
    <row r="84" spans="1:14" ht="15.75" thickBot="1" x14ac:dyDescent="0.25">
      <c r="A84" s="4" t="s">
        <v>9</v>
      </c>
      <c r="B84" s="20">
        <f t="shared" ref="B84:L84" si="39">B83</f>
        <v>61.355932203389827</v>
      </c>
      <c r="C84" s="20">
        <f t="shared" si="39"/>
        <v>61.355932203389827</v>
      </c>
      <c r="D84" s="20">
        <f t="shared" si="39"/>
        <v>61.355932203389827</v>
      </c>
      <c r="E84" s="20">
        <f t="shared" si="39"/>
        <v>61.355932203389827</v>
      </c>
      <c r="F84" s="20">
        <f t="shared" si="39"/>
        <v>61.355932203389827</v>
      </c>
      <c r="G84" s="20">
        <f t="shared" si="39"/>
        <v>61.355932203389827</v>
      </c>
      <c r="H84" s="20">
        <f t="shared" si="39"/>
        <v>61.355932203389827</v>
      </c>
      <c r="I84" s="20">
        <f t="shared" si="39"/>
        <v>61.355932203389827</v>
      </c>
      <c r="J84" s="20">
        <f t="shared" si="39"/>
        <v>61.355932203389827</v>
      </c>
      <c r="K84" s="20">
        <f t="shared" si="39"/>
        <v>61.355932203389827</v>
      </c>
      <c r="L84" s="21">
        <f t="shared" si="39"/>
        <v>61.355932203389827</v>
      </c>
      <c r="M84" s="3"/>
      <c r="N84" s="67"/>
    </row>
    <row r="85" spans="1:14" ht="15.75" x14ac:dyDescent="0.25">
      <c r="A85" s="16" t="s">
        <v>24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9"/>
      <c r="N85" s="67"/>
    </row>
    <row r="86" spans="1:14" x14ac:dyDescent="0.2">
      <c r="A86" s="4" t="s">
        <v>10</v>
      </c>
      <c r="B86" s="20">
        <f>$H79</f>
        <v>38.644067796610166</v>
      </c>
      <c r="C86" s="20">
        <f t="shared" ref="C86:L86" si="40">$H79</f>
        <v>38.644067796610166</v>
      </c>
      <c r="D86" s="20">
        <f t="shared" si="40"/>
        <v>38.644067796610166</v>
      </c>
      <c r="E86" s="20">
        <f t="shared" si="40"/>
        <v>38.644067796610166</v>
      </c>
      <c r="F86" s="20">
        <f t="shared" si="40"/>
        <v>38.644067796610166</v>
      </c>
      <c r="G86" s="20">
        <f t="shared" si="40"/>
        <v>38.644067796610166</v>
      </c>
      <c r="H86" s="20">
        <f t="shared" si="40"/>
        <v>38.644067796610166</v>
      </c>
      <c r="I86" s="20">
        <f t="shared" si="40"/>
        <v>38.644067796610166</v>
      </c>
      <c r="J86" s="20">
        <f t="shared" si="40"/>
        <v>38.644067796610166</v>
      </c>
      <c r="K86" s="20">
        <f t="shared" si="40"/>
        <v>38.644067796610166</v>
      </c>
      <c r="L86" s="21">
        <f t="shared" si="40"/>
        <v>38.644067796610166</v>
      </c>
      <c r="M86" s="3"/>
      <c r="N86" s="67"/>
    </row>
    <row r="87" spans="1:14" x14ac:dyDescent="0.2">
      <c r="A87" s="4" t="s">
        <v>9</v>
      </c>
      <c r="B87" s="20">
        <f t="shared" ref="B87:L87" si="41">B86/2</f>
        <v>19.322033898305083</v>
      </c>
      <c r="C87" s="20">
        <f t="shared" si="41"/>
        <v>19.322033898305083</v>
      </c>
      <c r="D87" s="20">
        <f t="shared" si="41"/>
        <v>19.322033898305083</v>
      </c>
      <c r="E87" s="20">
        <f t="shared" si="41"/>
        <v>19.322033898305083</v>
      </c>
      <c r="F87" s="20">
        <f t="shared" si="41"/>
        <v>19.322033898305083</v>
      </c>
      <c r="G87" s="20">
        <f t="shared" si="41"/>
        <v>19.322033898305083</v>
      </c>
      <c r="H87" s="20">
        <f t="shared" si="41"/>
        <v>19.322033898305083</v>
      </c>
      <c r="I87" s="20">
        <f t="shared" si="41"/>
        <v>19.322033898305083</v>
      </c>
      <c r="J87" s="20">
        <f t="shared" si="41"/>
        <v>19.322033898305083</v>
      </c>
      <c r="K87" s="20">
        <f t="shared" si="41"/>
        <v>19.322033898305083</v>
      </c>
      <c r="L87" s="21">
        <f t="shared" si="41"/>
        <v>19.322033898305083</v>
      </c>
      <c r="M87" s="3"/>
      <c r="N87" s="67"/>
    </row>
    <row r="88" spans="1:14" x14ac:dyDescent="0.2">
      <c r="A88" s="4" t="s">
        <v>11</v>
      </c>
      <c r="B88" s="20">
        <f>$G79</f>
        <v>0</v>
      </c>
      <c r="C88" s="20">
        <f t="shared" ref="C88:L88" si="42">$G79</f>
        <v>0</v>
      </c>
      <c r="D88" s="20">
        <f t="shared" si="42"/>
        <v>0</v>
      </c>
      <c r="E88" s="20">
        <f t="shared" si="42"/>
        <v>0</v>
      </c>
      <c r="F88" s="20">
        <f t="shared" si="42"/>
        <v>0</v>
      </c>
      <c r="G88" s="20">
        <f t="shared" si="42"/>
        <v>0</v>
      </c>
      <c r="H88" s="20">
        <f t="shared" si="42"/>
        <v>0</v>
      </c>
      <c r="I88" s="20">
        <f t="shared" si="42"/>
        <v>0</v>
      </c>
      <c r="J88" s="20">
        <f t="shared" si="42"/>
        <v>0</v>
      </c>
      <c r="K88" s="20">
        <f t="shared" si="42"/>
        <v>0</v>
      </c>
      <c r="L88" s="21">
        <f t="shared" si="42"/>
        <v>0</v>
      </c>
      <c r="M88" s="3"/>
      <c r="N88" s="67"/>
    </row>
    <row r="89" spans="1:14" x14ac:dyDescent="0.2">
      <c r="A89" s="4" t="s">
        <v>12</v>
      </c>
      <c r="B89" s="20">
        <f>(B84+B87-B88)*B81</f>
        <v>80.677966101694906</v>
      </c>
      <c r="C89" s="20">
        <f t="shared" ref="C89:L89" si="43">(C84+C87-C88)*C81</f>
        <v>84.711864406779654</v>
      </c>
      <c r="D89" s="20">
        <f t="shared" si="43"/>
        <v>88.745762711864401</v>
      </c>
      <c r="E89" s="20">
        <f t="shared" si="43"/>
        <v>92.779661016949134</v>
      </c>
      <c r="F89" s="20">
        <f t="shared" si="43"/>
        <v>96.813559322033882</v>
      </c>
      <c r="G89" s="20">
        <f t="shared" si="43"/>
        <v>100.84745762711863</v>
      </c>
      <c r="H89" s="20">
        <f t="shared" si="43"/>
        <v>104.88135593220338</v>
      </c>
      <c r="I89" s="20">
        <f t="shared" si="43"/>
        <v>108.91525423728812</v>
      </c>
      <c r="J89" s="20">
        <f t="shared" si="43"/>
        <v>112.94915254237286</v>
      </c>
      <c r="K89" s="20">
        <f t="shared" si="43"/>
        <v>116.9830508474576</v>
      </c>
      <c r="L89" s="21">
        <f t="shared" si="43"/>
        <v>121.01694915254237</v>
      </c>
      <c r="M89" s="3"/>
      <c r="N89" s="67"/>
    </row>
    <row r="90" spans="1:14" x14ac:dyDescent="0.2">
      <c r="A90" s="4" t="s">
        <v>13</v>
      </c>
      <c r="B90" s="20">
        <f t="shared" ref="B90:L90" si="44">B89*$I75/$I74</f>
        <v>303.50282485875704</v>
      </c>
      <c r="C90" s="20">
        <f t="shared" si="44"/>
        <v>318.67796610169489</v>
      </c>
      <c r="D90" s="20">
        <f t="shared" si="44"/>
        <v>333.8531073446328</v>
      </c>
      <c r="E90" s="20">
        <f t="shared" si="44"/>
        <v>349.0282485875706</v>
      </c>
      <c r="F90" s="20">
        <f t="shared" si="44"/>
        <v>364.2033898305084</v>
      </c>
      <c r="G90" s="20">
        <f t="shared" si="44"/>
        <v>379.37853107344631</v>
      </c>
      <c r="H90" s="20">
        <f t="shared" si="44"/>
        <v>394.55367231638411</v>
      </c>
      <c r="I90" s="20">
        <f t="shared" si="44"/>
        <v>409.72881355932202</v>
      </c>
      <c r="J90" s="20">
        <f t="shared" si="44"/>
        <v>424.90395480225982</v>
      </c>
      <c r="K90" s="20">
        <f t="shared" si="44"/>
        <v>440.07909604519767</v>
      </c>
      <c r="L90" s="21">
        <f t="shared" si="44"/>
        <v>455.25423728813564</v>
      </c>
      <c r="M90" s="3"/>
      <c r="N90" s="67"/>
    </row>
    <row r="91" spans="1:14" ht="15.75" thickBot="1" x14ac:dyDescent="0.25">
      <c r="A91" s="4" t="s">
        <v>14</v>
      </c>
      <c r="B91" s="20">
        <v>0</v>
      </c>
      <c r="C91" s="20">
        <f t="shared" ref="C91:L91" si="45">C89-$B89</f>
        <v>4.0338983050847474</v>
      </c>
      <c r="D91" s="20">
        <f t="shared" si="45"/>
        <v>8.0677966101694949</v>
      </c>
      <c r="E91" s="20">
        <f t="shared" si="45"/>
        <v>12.101694915254228</v>
      </c>
      <c r="F91" s="20">
        <f t="shared" si="45"/>
        <v>16.135593220338976</v>
      </c>
      <c r="G91" s="20">
        <f t="shared" si="45"/>
        <v>20.169491525423723</v>
      </c>
      <c r="H91" s="20">
        <f t="shared" si="45"/>
        <v>24.20338983050847</v>
      </c>
      <c r="I91" s="20">
        <f t="shared" si="45"/>
        <v>28.237288135593218</v>
      </c>
      <c r="J91" s="20">
        <f t="shared" si="45"/>
        <v>32.271186440677951</v>
      </c>
      <c r="K91" s="20">
        <f t="shared" si="45"/>
        <v>36.305084745762699</v>
      </c>
      <c r="L91" s="21">
        <f t="shared" si="45"/>
        <v>40.33898305084746</v>
      </c>
      <c r="M91" s="3"/>
      <c r="N91" s="67"/>
    </row>
    <row r="92" spans="1:14" ht="15.75" x14ac:dyDescent="0.25">
      <c r="A92" s="16" t="s">
        <v>26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9"/>
      <c r="N92" s="67"/>
    </row>
    <row r="93" spans="1:14" x14ac:dyDescent="0.2">
      <c r="A93" s="4" t="s">
        <v>15</v>
      </c>
      <c r="B93" s="20">
        <f t="shared" ref="B93:L93" si="46">B83/(B83+B90+B91)*100</f>
        <v>16.816351811706408</v>
      </c>
      <c r="C93" s="20">
        <f t="shared" si="46"/>
        <v>15.975286849073257</v>
      </c>
      <c r="D93" s="20">
        <f t="shared" si="46"/>
        <v>15.214345755113474</v>
      </c>
      <c r="E93" s="20">
        <f t="shared" si="46"/>
        <v>14.522599625568333</v>
      </c>
      <c r="F93" s="20">
        <f t="shared" si="46"/>
        <v>13.891020721412126</v>
      </c>
      <c r="G93" s="20">
        <f t="shared" si="46"/>
        <v>13.3120862956607</v>
      </c>
      <c r="H93" s="20">
        <f t="shared" si="46"/>
        <v>12.779477524123326</v>
      </c>
      <c r="I93" s="20">
        <f t="shared" si="46"/>
        <v>12.28784792939579</v>
      </c>
      <c r="J93" s="20">
        <f t="shared" si="46"/>
        <v>11.832643277402486</v>
      </c>
      <c r="K93" s="20">
        <f t="shared" si="46"/>
        <v>11.409960075646145</v>
      </c>
      <c r="L93" s="21">
        <f t="shared" si="46"/>
        <v>11.016433353621425</v>
      </c>
      <c r="M93" s="3"/>
      <c r="N93" s="67"/>
    </row>
    <row r="94" spans="1:14" x14ac:dyDescent="0.2">
      <c r="A94" s="4" t="s">
        <v>6</v>
      </c>
      <c r="B94" s="20">
        <f t="shared" ref="B94:L94" si="47">(B91)/(B83+B90+B91)*100</f>
        <v>0</v>
      </c>
      <c r="C94" s="20">
        <f t="shared" si="47"/>
        <v>1.0503089143865849</v>
      </c>
      <c r="D94" s="20">
        <f t="shared" si="47"/>
        <v>2.0005603810591204</v>
      </c>
      <c r="E94" s="20">
        <f t="shared" si="47"/>
        <v>2.8644022465899956</v>
      </c>
      <c r="F94" s="20">
        <f t="shared" si="47"/>
        <v>3.6531082118188785</v>
      </c>
      <c r="G94" s="20">
        <f t="shared" si="47"/>
        <v>4.376072566805588</v>
      </c>
      <c r="H94" s="20">
        <f t="shared" si="47"/>
        <v>5.0411861614497528</v>
      </c>
      <c r="I94" s="20">
        <f t="shared" si="47"/>
        <v>5.6551255940257974</v>
      </c>
      <c r="J94" s="20">
        <f t="shared" si="47"/>
        <v>6.2235781215951169</v>
      </c>
      <c r="K94" s="20">
        <f t="shared" si="47"/>
        <v>6.7514183652027731</v>
      </c>
      <c r="L94" s="21">
        <f t="shared" si="47"/>
        <v>7.2428484479610482</v>
      </c>
      <c r="M94" s="3"/>
      <c r="N94" s="67"/>
    </row>
    <row r="95" spans="1:14" ht="15.75" thickBot="1" x14ac:dyDescent="0.25">
      <c r="A95" s="22" t="s">
        <v>16</v>
      </c>
      <c r="B95" s="23">
        <f t="shared" ref="B95:L95" si="48">B90/(B83+B91+B90)*100</f>
        <v>83.183648188293589</v>
      </c>
      <c r="C95" s="23">
        <f t="shared" si="48"/>
        <v>82.974404236540153</v>
      </c>
      <c r="D95" s="23">
        <f t="shared" si="48"/>
        <v>82.785093863827413</v>
      </c>
      <c r="E95" s="23">
        <f t="shared" si="48"/>
        <v>82.612998127841678</v>
      </c>
      <c r="F95" s="23">
        <f t="shared" si="48"/>
        <v>82.455871066768992</v>
      </c>
      <c r="G95" s="23">
        <f t="shared" si="48"/>
        <v>82.311841137533705</v>
      </c>
      <c r="H95" s="23">
        <f t="shared" si="48"/>
        <v>82.179336314426919</v>
      </c>
      <c r="I95" s="23">
        <f t="shared" si="48"/>
        <v>82.057026476578415</v>
      </c>
      <c r="J95" s="23">
        <f t="shared" si="48"/>
        <v>81.943778601002407</v>
      </c>
      <c r="K95" s="23">
        <f t="shared" si="48"/>
        <v>81.838621559151079</v>
      </c>
      <c r="L95" s="24">
        <f t="shared" si="48"/>
        <v>81.740718198417511</v>
      </c>
      <c r="M95" s="3"/>
      <c r="N95" s="67"/>
    </row>
    <row r="96" spans="1:14" ht="15.75" thickBo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67"/>
    </row>
    <row r="97" spans="1:14" ht="16.5" thickBot="1" x14ac:dyDescent="0.3">
      <c r="A97" s="49" t="s">
        <v>0</v>
      </c>
      <c r="B97" s="50" t="s">
        <v>47</v>
      </c>
      <c r="C97" s="51"/>
      <c r="D97" s="212" t="s">
        <v>1</v>
      </c>
      <c r="E97" s="213"/>
      <c r="F97" s="214">
        <f>+F98</f>
        <v>8.9499999999999993</v>
      </c>
      <c r="G97" s="211" t="s">
        <v>22</v>
      </c>
      <c r="H97" s="148" t="s">
        <v>25</v>
      </c>
      <c r="I97" s="149"/>
      <c r="J97" s="178" t="s">
        <v>97</v>
      </c>
      <c r="K97" s="179"/>
      <c r="L97" s="5"/>
      <c r="M97" s="5"/>
      <c r="N97" s="67"/>
    </row>
    <row r="98" spans="1:14" x14ac:dyDescent="0.2">
      <c r="A98" s="29"/>
      <c r="B98" s="31" t="s">
        <v>5</v>
      </c>
      <c r="C98" s="128">
        <v>0.71599999999999997</v>
      </c>
      <c r="D98" s="32" t="s">
        <v>17</v>
      </c>
      <c r="E98" s="74"/>
      <c r="F98" s="194">
        <f>+C98/C99</f>
        <v>8.9499999999999993</v>
      </c>
      <c r="G98" s="191">
        <f>+$G$2</f>
        <v>12</v>
      </c>
      <c r="H98" s="25" t="s">
        <v>6</v>
      </c>
      <c r="I98" s="184">
        <f>$I$2</f>
        <v>0.21</v>
      </c>
      <c r="J98" s="180"/>
      <c r="K98" s="181"/>
      <c r="L98" s="5"/>
      <c r="M98" s="5"/>
      <c r="N98" s="67"/>
    </row>
    <row r="99" spans="1:14" x14ac:dyDescent="0.2">
      <c r="A99" s="29"/>
      <c r="B99" s="32" t="s">
        <v>4</v>
      </c>
      <c r="C99" s="129">
        <v>0.08</v>
      </c>
      <c r="D99" s="32" t="s">
        <v>18</v>
      </c>
      <c r="E99" s="74"/>
      <c r="F99" s="194">
        <f>C98/C99/F98</f>
        <v>1</v>
      </c>
      <c r="G99" s="191">
        <f>+$G$3</f>
        <v>2</v>
      </c>
      <c r="H99" s="26" t="s">
        <v>16</v>
      </c>
      <c r="I99" s="185">
        <f>$I$3</f>
        <v>0.79</v>
      </c>
      <c r="J99" s="180"/>
      <c r="K99" s="181"/>
      <c r="L99" s="5"/>
      <c r="M99" s="5"/>
      <c r="N99" s="67"/>
    </row>
    <row r="100" spans="1:14" ht="15.75" thickBot="1" x14ac:dyDescent="0.25">
      <c r="A100" s="30"/>
      <c r="B100" s="33" t="s">
        <v>3</v>
      </c>
      <c r="C100" s="130">
        <v>0.05</v>
      </c>
      <c r="D100" s="33" t="s">
        <v>19</v>
      </c>
      <c r="E100" s="202"/>
      <c r="F100" s="195">
        <f>+C100</f>
        <v>0.05</v>
      </c>
      <c r="G100" s="192">
        <f>+$G$4</f>
        <v>32</v>
      </c>
      <c r="H100" s="27"/>
      <c r="I100" s="28"/>
      <c r="J100" s="180"/>
      <c r="K100" s="181"/>
      <c r="L100" s="5"/>
      <c r="M100" s="5"/>
      <c r="N100" s="67"/>
    </row>
    <row r="101" spans="1:14" ht="16.5" thickBot="1" x14ac:dyDescent="0.3">
      <c r="A101" s="142" t="s">
        <v>20</v>
      </c>
      <c r="B101" s="143"/>
      <c r="C101" s="144"/>
      <c r="D101" s="142" t="s">
        <v>21</v>
      </c>
      <c r="E101" s="143"/>
      <c r="F101" s="144"/>
      <c r="G101" s="145" t="s">
        <v>2</v>
      </c>
      <c r="H101" s="143"/>
      <c r="I101" s="144"/>
      <c r="J101" s="180"/>
      <c r="K101" s="181"/>
      <c r="L101" s="5"/>
      <c r="M101" s="5"/>
      <c r="N101" s="67"/>
    </row>
    <row r="102" spans="1:14" ht="15.75" x14ac:dyDescent="0.25">
      <c r="A102" s="11" t="s">
        <v>3</v>
      </c>
      <c r="B102" s="12" t="s">
        <v>4</v>
      </c>
      <c r="C102" s="13" t="s">
        <v>5</v>
      </c>
      <c r="D102" s="11" t="s">
        <v>3</v>
      </c>
      <c r="E102" s="12" t="s">
        <v>4</v>
      </c>
      <c r="F102" s="13" t="s">
        <v>5</v>
      </c>
      <c r="G102" s="14" t="s">
        <v>3</v>
      </c>
      <c r="H102" s="12" t="s">
        <v>4</v>
      </c>
      <c r="I102" s="13" t="s">
        <v>5</v>
      </c>
      <c r="J102" s="180"/>
      <c r="K102" s="181"/>
      <c r="L102" s="5"/>
      <c r="M102" s="5"/>
      <c r="N102" s="67"/>
    </row>
    <row r="103" spans="1:14" ht="15.75" thickBot="1" x14ac:dyDescent="0.25">
      <c r="A103" s="8">
        <f>F100*100</f>
        <v>5</v>
      </c>
      <c r="B103" s="9">
        <f>(100-A103)*F99/(F98+F99)</f>
        <v>9.5477386934673376</v>
      </c>
      <c r="C103" s="10">
        <f>(100-A103)*F98/(F98+F99)</f>
        <v>85.452261306532662</v>
      </c>
      <c r="D103" s="8">
        <f>+A103/G100</f>
        <v>0.15625</v>
      </c>
      <c r="E103" s="9">
        <f>+B103/G99</f>
        <v>4.7738693467336688</v>
      </c>
      <c r="F103" s="10">
        <f>+C103/G98</f>
        <v>7.1210217755443885</v>
      </c>
      <c r="G103" s="34">
        <f>+D103/SUM($D103:$F103)*100</f>
        <v>1.2965577152785319</v>
      </c>
      <c r="H103" s="35">
        <f>+E103/SUM($D103:$F103)*100</f>
        <v>39.613421652731027</v>
      </c>
      <c r="I103" s="36">
        <f>+F103/SUM($D103:$F103)*100</f>
        <v>59.090020631990434</v>
      </c>
      <c r="J103" s="182"/>
      <c r="K103" s="183"/>
      <c r="L103" s="5"/>
      <c r="M103" s="5"/>
      <c r="N103" s="67"/>
    </row>
    <row r="104" spans="1:14" ht="15.75" thickBot="1" x14ac:dyDescent="0.25">
      <c r="A104" s="6"/>
      <c r="B104" s="6"/>
      <c r="C104" s="6"/>
      <c r="D104" s="5"/>
      <c r="E104" s="7"/>
      <c r="F104" s="6"/>
      <c r="G104" s="6"/>
      <c r="H104" s="6"/>
      <c r="I104" s="5"/>
      <c r="J104" s="5"/>
      <c r="K104" s="5"/>
      <c r="L104" s="5"/>
      <c r="M104" s="5"/>
      <c r="N104" s="67"/>
    </row>
    <row r="105" spans="1:14" ht="16.5" thickBot="1" x14ac:dyDescent="0.3">
      <c r="A105" s="17" t="s">
        <v>7</v>
      </c>
      <c r="B105" s="131">
        <f>+B$9</f>
        <v>1</v>
      </c>
      <c r="C105" s="131">
        <f t="shared" ref="C105:L105" si="49">+C$9</f>
        <v>1.05</v>
      </c>
      <c r="D105" s="131">
        <f t="shared" si="49"/>
        <v>1.1000000000000001</v>
      </c>
      <c r="E105" s="131">
        <f t="shared" si="49"/>
        <v>1.1499999999999999</v>
      </c>
      <c r="F105" s="131">
        <f t="shared" si="49"/>
        <v>1.2</v>
      </c>
      <c r="G105" s="131">
        <f t="shared" si="49"/>
        <v>1.25</v>
      </c>
      <c r="H105" s="131">
        <f t="shared" si="49"/>
        <v>1.3</v>
      </c>
      <c r="I105" s="131">
        <f t="shared" si="49"/>
        <v>1.35</v>
      </c>
      <c r="J105" s="131">
        <f t="shared" si="49"/>
        <v>1.4</v>
      </c>
      <c r="K105" s="131">
        <f t="shared" si="49"/>
        <v>1.45</v>
      </c>
      <c r="L105" s="132">
        <f t="shared" si="49"/>
        <v>1.5</v>
      </c>
      <c r="M105" s="5"/>
      <c r="N105" s="67"/>
    </row>
    <row r="106" spans="1:14" ht="15.75" x14ac:dyDescent="0.25">
      <c r="A106" s="16" t="s">
        <v>23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9"/>
      <c r="N106" s="67"/>
    </row>
    <row r="107" spans="1:14" x14ac:dyDescent="0.2">
      <c r="A107" s="4" t="s">
        <v>8</v>
      </c>
      <c r="B107" s="20">
        <f>$I103</f>
        <v>59.090020631990434</v>
      </c>
      <c r="C107" s="20">
        <f t="shared" ref="C107:L107" si="50">$I103</f>
        <v>59.090020631990434</v>
      </c>
      <c r="D107" s="20">
        <f t="shared" si="50"/>
        <v>59.090020631990434</v>
      </c>
      <c r="E107" s="20">
        <f t="shared" si="50"/>
        <v>59.090020631990434</v>
      </c>
      <c r="F107" s="20">
        <f t="shared" si="50"/>
        <v>59.090020631990434</v>
      </c>
      <c r="G107" s="20">
        <f t="shared" si="50"/>
        <v>59.090020631990434</v>
      </c>
      <c r="H107" s="20">
        <f t="shared" si="50"/>
        <v>59.090020631990434</v>
      </c>
      <c r="I107" s="20">
        <f t="shared" si="50"/>
        <v>59.090020631990434</v>
      </c>
      <c r="J107" s="20">
        <f t="shared" si="50"/>
        <v>59.090020631990434</v>
      </c>
      <c r="K107" s="20">
        <f t="shared" si="50"/>
        <v>59.090020631990434</v>
      </c>
      <c r="L107" s="21">
        <f t="shared" si="50"/>
        <v>59.090020631990434</v>
      </c>
      <c r="M107" s="3"/>
      <c r="N107" s="67"/>
    </row>
    <row r="108" spans="1:14" ht="15.75" thickBot="1" x14ac:dyDescent="0.25">
      <c r="A108" s="4" t="s">
        <v>9</v>
      </c>
      <c r="B108" s="20">
        <f t="shared" ref="B108:L108" si="51">B107</f>
        <v>59.090020631990434</v>
      </c>
      <c r="C108" s="20">
        <f t="shared" si="51"/>
        <v>59.090020631990434</v>
      </c>
      <c r="D108" s="20">
        <f t="shared" si="51"/>
        <v>59.090020631990434</v>
      </c>
      <c r="E108" s="20">
        <f t="shared" si="51"/>
        <v>59.090020631990434</v>
      </c>
      <c r="F108" s="20">
        <f t="shared" si="51"/>
        <v>59.090020631990434</v>
      </c>
      <c r="G108" s="20">
        <f t="shared" si="51"/>
        <v>59.090020631990434</v>
      </c>
      <c r="H108" s="20">
        <f t="shared" si="51"/>
        <v>59.090020631990434</v>
      </c>
      <c r="I108" s="20">
        <f t="shared" si="51"/>
        <v>59.090020631990434</v>
      </c>
      <c r="J108" s="20">
        <f t="shared" si="51"/>
        <v>59.090020631990434</v>
      </c>
      <c r="K108" s="20">
        <f t="shared" si="51"/>
        <v>59.090020631990434</v>
      </c>
      <c r="L108" s="21">
        <f t="shared" si="51"/>
        <v>59.090020631990434</v>
      </c>
      <c r="M108" s="3"/>
      <c r="N108" s="67"/>
    </row>
    <row r="109" spans="1:14" ht="15.75" x14ac:dyDescent="0.25">
      <c r="A109" s="16" t="s">
        <v>24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9"/>
      <c r="N109" s="67"/>
    </row>
    <row r="110" spans="1:14" x14ac:dyDescent="0.2">
      <c r="A110" s="4" t="s">
        <v>10</v>
      </c>
      <c r="B110" s="20">
        <f>$H103</f>
        <v>39.613421652731027</v>
      </c>
      <c r="C110" s="20">
        <f t="shared" ref="C110:L110" si="52">$H103</f>
        <v>39.613421652731027</v>
      </c>
      <c r="D110" s="20">
        <f t="shared" si="52"/>
        <v>39.613421652731027</v>
      </c>
      <c r="E110" s="20">
        <f t="shared" si="52"/>
        <v>39.613421652731027</v>
      </c>
      <c r="F110" s="20">
        <f t="shared" si="52"/>
        <v>39.613421652731027</v>
      </c>
      <c r="G110" s="20">
        <f t="shared" si="52"/>
        <v>39.613421652731027</v>
      </c>
      <c r="H110" s="20">
        <f t="shared" si="52"/>
        <v>39.613421652731027</v>
      </c>
      <c r="I110" s="20">
        <f t="shared" si="52"/>
        <v>39.613421652731027</v>
      </c>
      <c r="J110" s="20">
        <f t="shared" si="52"/>
        <v>39.613421652731027</v>
      </c>
      <c r="K110" s="20">
        <f t="shared" si="52"/>
        <v>39.613421652731027</v>
      </c>
      <c r="L110" s="21">
        <f t="shared" si="52"/>
        <v>39.613421652731027</v>
      </c>
      <c r="M110" s="3"/>
      <c r="N110" s="67"/>
    </row>
    <row r="111" spans="1:14" x14ac:dyDescent="0.2">
      <c r="A111" s="4" t="s">
        <v>9</v>
      </c>
      <c r="B111" s="20">
        <f t="shared" ref="B111:L111" si="53">B110/2</f>
        <v>19.806710826365514</v>
      </c>
      <c r="C111" s="20">
        <f t="shared" si="53"/>
        <v>19.806710826365514</v>
      </c>
      <c r="D111" s="20">
        <f t="shared" si="53"/>
        <v>19.806710826365514</v>
      </c>
      <c r="E111" s="20">
        <f t="shared" si="53"/>
        <v>19.806710826365514</v>
      </c>
      <c r="F111" s="20">
        <f t="shared" si="53"/>
        <v>19.806710826365514</v>
      </c>
      <c r="G111" s="20">
        <f t="shared" si="53"/>
        <v>19.806710826365514</v>
      </c>
      <c r="H111" s="20">
        <f t="shared" si="53"/>
        <v>19.806710826365514</v>
      </c>
      <c r="I111" s="20">
        <f t="shared" si="53"/>
        <v>19.806710826365514</v>
      </c>
      <c r="J111" s="20">
        <f t="shared" si="53"/>
        <v>19.806710826365514</v>
      </c>
      <c r="K111" s="20">
        <f t="shared" si="53"/>
        <v>19.806710826365514</v>
      </c>
      <c r="L111" s="21">
        <f t="shared" si="53"/>
        <v>19.806710826365514</v>
      </c>
      <c r="M111" s="3"/>
      <c r="N111" s="67"/>
    </row>
    <row r="112" spans="1:14" x14ac:dyDescent="0.2">
      <c r="A112" s="4" t="s">
        <v>11</v>
      </c>
      <c r="B112" s="20">
        <f>$G103</f>
        <v>1.2965577152785319</v>
      </c>
      <c r="C112" s="20">
        <f t="shared" ref="C112:L112" si="54">$G103</f>
        <v>1.2965577152785319</v>
      </c>
      <c r="D112" s="20">
        <f t="shared" si="54"/>
        <v>1.2965577152785319</v>
      </c>
      <c r="E112" s="20">
        <f t="shared" si="54"/>
        <v>1.2965577152785319</v>
      </c>
      <c r="F112" s="20">
        <f t="shared" si="54"/>
        <v>1.2965577152785319</v>
      </c>
      <c r="G112" s="20">
        <f t="shared" si="54"/>
        <v>1.2965577152785319</v>
      </c>
      <c r="H112" s="20">
        <f t="shared" si="54"/>
        <v>1.2965577152785319</v>
      </c>
      <c r="I112" s="20">
        <f t="shared" si="54"/>
        <v>1.2965577152785319</v>
      </c>
      <c r="J112" s="20">
        <f t="shared" si="54"/>
        <v>1.2965577152785319</v>
      </c>
      <c r="K112" s="20">
        <f t="shared" si="54"/>
        <v>1.2965577152785319</v>
      </c>
      <c r="L112" s="21">
        <f t="shared" si="54"/>
        <v>1.2965577152785319</v>
      </c>
      <c r="M112" s="3"/>
      <c r="N112" s="67"/>
    </row>
    <row r="113" spans="1:19" x14ac:dyDescent="0.2">
      <c r="A113" s="4" t="s">
        <v>12</v>
      </c>
      <c r="B113" s="20">
        <f>(B108+B111-B112)*B105</f>
        <v>77.600173743077406</v>
      </c>
      <c r="C113" s="20">
        <f t="shared" ref="C113:L113" si="55">(C108+C111-C112)*C105</f>
        <v>81.480182430231281</v>
      </c>
      <c r="D113" s="20">
        <f t="shared" si="55"/>
        <v>85.360191117385156</v>
      </c>
      <c r="E113" s="20">
        <f t="shared" si="55"/>
        <v>89.240199804539003</v>
      </c>
      <c r="F113" s="20">
        <f t="shared" si="55"/>
        <v>93.120208491692878</v>
      </c>
      <c r="G113" s="20">
        <f t="shared" si="55"/>
        <v>97.000217178846754</v>
      </c>
      <c r="H113" s="20">
        <f t="shared" si="55"/>
        <v>100.88022586600063</v>
      </c>
      <c r="I113" s="20">
        <f t="shared" si="55"/>
        <v>104.7602345531545</v>
      </c>
      <c r="J113" s="20">
        <f t="shared" si="55"/>
        <v>108.64024324030837</v>
      </c>
      <c r="K113" s="20">
        <f t="shared" si="55"/>
        <v>112.52025192746224</v>
      </c>
      <c r="L113" s="21">
        <f t="shared" si="55"/>
        <v>116.40026061461612</v>
      </c>
      <c r="M113" s="3"/>
      <c r="N113" s="67"/>
    </row>
    <row r="114" spans="1:19" x14ac:dyDescent="0.2">
      <c r="A114" s="4" t="s">
        <v>13</v>
      </c>
      <c r="B114" s="20">
        <f t="shared" ref="B114:L114" si="56">B113*$I99/$I98</f>
        <v>291.92446312871976</v>
      </c>
      <c r="C114" s="20">
        <f t="shared" si="56"/>
        <v>306.52068628515576</v>
      </c>
      <c r="D114" s="20">
        <f t="shared" si="56"/>
        <v>321.11690944159182</v>
      </c>
      <c r="E114" s="20">
        <f t="shared" si="56"/>
        <v>335.7131325980277</v>
      </c>
      <c r="F114" s="20">
        <f t="shared" si="56"/>
        <v>350.3093557544637</v>
      </c>
      <c r="G114" s="20">
        <f t="shared" si="56"/>
        <v>364.90557891089975</v>
      </c>
      <c r="H114" s="20">
        <f t="shared" si="56"/>
        <v>379.50180206733569</v>
      </c>
      <c r="I114" s="20">
        <f t="shared" si="56"/>
        <v>394.09802522377174</v>
      </c>
      <c r="J114" s="20">
        <f t="shared" si="56"/>
        <v>408.69424838020768</v>
      </c>
      <c r="K114" s="20">
        <f t="shared" si="56"/>
        <v>423.29047153664368</v>
      </c>
      <c r="L114" s="21">
        <f t="shared" si="56"/>
        <v>437.88669469307973</v>
      </c>
      <c r="M114" s="3"/>
      <c r="N114" s="67"/>
    </row>
    <row r="115" spans="1:19" ht="15.75" thickBot="1" x14ac:dyDescent="0.25">
      <c r="A115" s="4" t="s">
        <v>14</v>
      </c>
      <c r="B115" s="20">
        <v>0</v>
      </c>
      <c r="C115" s="20">
        <f t="shared" ref="C115:L115" si="57">C113-$B113</f>
        <v>3.8800086871538753</v>
      </c>
      <c r="D115" s="20">
        <f t="shared" si="57"/>
        <v>7.7600173743077505</v>
      </c>
      <c r="E115" s="20">
        <f t="shared" si="57"/>
        <v>11.640026061461597</v>
      </c>
      <c r="F115" s="20">
        <f t="shared" si="57"/>
        <v>15.520034748615473</v>
      </c>
      <c r="G115" s="20">
        <f t="shared" si="57"/>
        <v>19.400043435769348</v>
      </c>
      <c r="H115" s="20">
        <f t="shared" si="57"/>
        <v>23.280052122923223</v>
      </c>
      <c r="I115" s="20">
        <f t="shared" si="57"/>
        <v>27.160060810077098</v>
      </c>
      <c r="J115" s="20">
        <f t="shared" si="57"/>
        <v>31.040069497230959</v>
      </c>
      <c r="K115" s="20">
        <f t="shared" si="57"/>
        <v>34.920078184384835</v>
      </c>
      <c r="L115" s="21">
        <f t="shared" si="57"/>
        <v>38.80008687153871</v>
      </c>
      <c r="M115" s="3"/>
      <c r="N115" s="67"/>
    </row>
    <row r="116" spans="1:19" ht="15.75" x14ac:dyDescent="0.25">
      <c r="A116" s="16" t="s">
        <v>26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9"/>
      <c r="N116" s="67"/>
    </row>
    <row r="117" spans="1:19" x14ac:dyDescent="0.2">
      <c r="A117" s="4" t="s">
        <v>15</v>
      </c>
      <c r="B117" s="20">
        <f t="shared" ref="B117:L117" si="58">B107/(B107+B114+B115)*100</f>
        <v>16.83406906715355</v>
      </c>
      <c r="C117" s="20">
        <f t="shared" si="58"/>
        <v>15.992288340817717</v>
      </c>
      <c r="D117" s="20">
        <f t="shared" si="58"/>
        <v>15.230684216965967</v>
      </c>
      <c r="E117" s="20">
        <f t="shared" si="58"/>
        <v>14.53832261006259</v>
      </c>
      <c r="F117" s="20">
        <f t="shared" si="58"/>
        <v>13.906171166467946</v>
      </c>
      <c r="G117" s="20">
        <f t="shared" si="58"/>
        <v>13.326703039983279</v>
      </c>
      <c r="H117" s="20">
        <f t="shared" si="58"/>
        <v>12.793595768248744</v>
      </c>
      <c r="I117" s="20">
        <f t="shared" si="58"/>
        <v>12.301499644110644</v>
      </c>
      <c r="J117" s="20">
        <f t="shared" si="58"/>
        <v>11.845857563518521</v>
      </c>
      <c r="K117" s="20">
        <f t="shared" si="58"/>
        <v>11.422763479975657</v>
      </c>
      <c r="L117" s="21">
        <f t="shared" si="58"/>
        <v>11.028850146129832</v>
      </c>
      <c r="M117" s="3"/>
      <c r="N117" s="67">
        <f>B117*12/(B117*12+2*(((100-B117)*21/79)-B117)*2)*100</f>
        <v>90.545442444008117</v>
      </c>
    </row>
    <row r="118" spans="1:19" x14ac:dyDescent="0.2">
      <c r="A118" s="4" t="s">
        <v>6</v>
      </c>
      <c r="B118" s="20">
        <f t="shared" ref="B118:L118" si="59">(B115)/(B107+B114+B115)*100</f>
        <v>0</v>
      </c>
      <c r="C118" s="20">
        <f t="shared" si="59"/>
        <v>1.0500963957397798</v>
      </c>
      <c r="D118" s="20">
        <f t="shared" si="59"/>
        <v>2.0001748667906929</v>
      </c>
      <c r="E118" s="20">
        <f t="shared" si="59"/>
        <v>2.8638753593436443</v>
      </c>
      <c r="F118" s="20">
        <f t="shared" si="59"/>
        <v>3.6524654656649949</v>
      </c>
      <c r="G118" s="20">
        <f t="shared" si="59"/>
        <v>4.3753347023085345</v>
      </c>
      <c r="H118" s="20">
        <f t="shared" si="59"/>
        <v>5.0403701528443392</v>
      </c>
      <c r="I118" s="20">
        <f t="shared" si="59"/>
        <v>5.6542454176823398</v>
      </c>
      <c r="J118" s="20">
        <f t="shared" si="59"/>
        <v>6.2226453484575153</v>
      </c>
      <c r="K118" s="20">
        <f t="shared" si="59"/>
        <v>6.7504426218889506</v>
      </c>
      <c r="L118" s="21">
        <f t="shared" si="59"/>
        <v>7.2418377788033865</v>
      </c>
      <c r="M118" s="3"/>
      <c r="N118" s="67"/>
    </row>
    <row r="119" spans="1:19" ht="15.75" thickBot="1" x14ac:dyDescent="0.25">
      <c r="A119" s="22" t="s">
        <v>16</v>
      </c>
      <c r="B119" s="23">
        <f t="shared" ref="B119:L119" si="60">B114/(B107+B115+B114)*100</f>
        <v>83.16593093284645</v>
      </c>
      <c r="C119" s="23">
        <f t="shared" si="60"/>
        <v>82.957615263442491</v>
      </c>
      <c r="D119" s="23">
        <f t="shared" si="60"/>
        <v>82.769140916243344</v>
      </c>
      <c r="E119" s="23">
        <f t="shared" si="60"/>
        <v>82.597802030593755</v>
      </c>
      <c r="F119" s="23">
        <f t="shared" si="60"/>
        <v>82.441363367867055</v>
      </c>
      <c r="G119" s="23">
        <f t="shared" si="60"/>
        <v>82.297962257708178</v>
      </c>
      <c r="H119" s="23">
        <f t="shared" si="60"/>
        <v>82.166034078906918</v>
      </c>
      <c r="I119" s="23">
        <f t="shared" si="60"/>
        <v>82.044254938207018</v>
      </c>
      <c r="J119" s="23">
        <f t="shared" si="60"/>
        <v>81.93149708802396</v>
      </c>
      <c r="K119" s="23">
        <f t="shared" si="60"/>
        <v>81.826793898135392</v>
      </c>
      <c r="L119" s="24">
        <f t="shared" si="60"/>
        <v>81.729312075066787</v>
      </c>
      <c r="M119" s="3"/>
      <c r="N119" s="67"/>
    </row>
    <row r="120" spans="1:19" x14ac:dyDescent="0.2">
      <c r="D120" s="1"/>
      <c r="E120" s="1"/>
      <c r="F120" s="2"/>
      <c r="G120" s="2"/>
      <c r="N120" s="68"/>
    </row>
    <row r="121" spans="1:19" ht="15.75" x14ac:dyDescent="0.25">
      <c r="L121" s="38" t="s">
        <v>27</v>
      </c>
      <c r="M121" s="38"/>
    </row>
    <row r="122" spans="1:19" ht="15.75" x14ac:dyDescent="0.2">
      <c r="K122" t="s">
        <v>28</v>
      </c>
      <c r="L122" s="139">
        <v>1</v>
      </c>
      <c r="M122" s="58"/>
      <c r="N122" s="66" t="s">
        <v>5</v>
      </c>
      <c r="O122" s="3">
        <f>B21</f>
        <v>21</v>
      </c>
      <c r="P122" s="3">
        <f>B117</f>
        <v>16.83406906715355</v>
      </c>
      <c r="Q122" s="3">
        <f>B45</f>
        <v>18.477941613220757</v>
      </c>
      <c r="R122" s="68">
        <f>B69</f>
        <v>18.1728084700081</v>
      </c>
      <c r="S122" s="3">
        <f>B93</f>
        <v>16.816351811706408</v>
      </c>
    </row>
    <row r="123" spans="1:19" ht="15.75" x14ac:dyDescent="0.2">
      <c r="K123" t="s">
        <v>28</v>
      </c>
      <c r="L123" s="139"/>
      <c r="M123" s="58"/>
      <c r="N123" s="66" t="s">
        <v>3</v>
      </c>
      <c r="O123" s="3">
        <f>+B22</f>
        <v>0</v>
      </c>
      <c r="P123" s="3">
        <f>B118</f>
        <v>0</v>
      </c>
      <c r="Q123" s="3">
        <f>B46</f>
        <v>0</v>
      </c>
      <c r="R123" s="68">
        <f>B70</f>
        <v>0</v>
      </c>
      <c r="S123" s="3">
        <f>B94</f>
        <v>0</v>
      </c>
    </row>
    <row r="124" spans="1:19" ht="15.75" x14ac:dyDescent="0.2">
      <c r="K124" t="s">
        <v>29</v>
      </c>
      <c r="L124" s="138">
        <v>1.05</v>
      </c>
      <c r="M124" s="57"/>
      <c r="N124" s="111" t="s">
        <v>5</v>
      </c>
      <c r="O124" s="37">
        <f>+C21</f>
        <v>20</v>
      </c>
      <c r="P124" s="37">
        <f>C117</f>
        <v>15.992288340817717</v>
      </c>
      <c r="Q124" s="37">
        <f>C45</f>
        <v>17.571327206594674</v>
      </c>
      <c r="R124" s="69">
        <f>+C69</f>
        <v>17.277992277992276</v>
      </c>
      <c r="S124" s="37">
        <f>+C93</f>
        <v>15.975286849073257</v>
      </c>
    </row>
    <row r="125" spans="1:19" ht="15.75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 t="s">
        <v>29</v>
      </c>
      <c r="L125" s="138"/>
      <c r="M125" s="57"/>
      <c r="N125" s="111" t="s">
        <v>3</v>
      </c>
      <c r="O125" s="37">
        <f>C22</f>
        <v>1</v>
      </c>
      <c r="P125" s="37">
        <f>C118</f>
        <v>1.0500963957397798</v>
      </c>
      <c r="Q125" s="37">
        <f>C46</f>
        <v>1.0303584099175664</v>
      </c>
      <c r="R125" s="69">
        <f>+C70</f>
        <v>1.0340250965250974</v>
      </c>
      <c r="S125" s="37">
        <f>+C94</f>
        <v>1.0503089143865849</v>
      </c>
    </row>
    <row r="126" spans="1:19" ht="15.75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 t="s">
        <v>30</v>
      </c>
      <c r="L126" s="139">
        <v>1.1000000000000001</v>
      </c>
      <c r="M126" s="58"/>
      <c r="N126" s="66" t="s">
        <v>5</v>
      </c>
      <c r="O126" s="3">
        <f>D21</f>
        <v>19.09090909090909</v>
      </c>
      <c r="P126" s="3">
        <f>+D117</f>
        <v>15.230684216965967</v>
      </c>
      <c r="Q126" s="3">
        <f>D45</f>
        <v>16.749517391980952</v>
      </c>
      <c r="R126" s="68">
        <f>D69</f>
        <v>16.467160958941612</v>
      </c>
      <c r="S126" s="3">
        <f>+D93</f>
        <v>15.214345755113474</v>
      </c>
    </row>
    <row r="127" spans="1:19" ht="15.75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 t="s">
        <v>30</v>
      </c>
      <c r="L127" s="139"/>
      <c r="M127" s="58"/>
      <c r="N127" s="66" t="s">
        <v>3</v>
      </c>
      <c r="O127" s="3">
        <f>D22</f>
        <v>1.9090909090909116</v>
      </c>
      <c r="P127" s="3">
        <f>+D118</f>
        <v>2.0001748667906929</v>
      </c>
      <c r="Q127" s="3">
        <f>D46</f>
        <v>1.9643372300768573</v>
      </c>
      <c r="R127" s="68">
        <f>+D70</f>
        <v>1.9709995728789071</v>
      </c>
      <c r="S127" s="3">
        <f>+D94</f>
        <v>2.0005603810591204</v>
      </c>
    </row>
    <row r="128" spans="1:19" ht="15.75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 t="s">
        <v>31</v>
      </c>
      <c r="L128" s="139">
        <v>1.1499999999999999</v>
      </c>
      <c r="M128" s="58"/>
      <c r="N128" s="66" t="s">
        <v>5</v>
      </c>
      <c r="O128" s="3">
        <f>E21</f>
        <v>18.260869565217391</v>
      </c>
      <c r="P128" s="3">
        <f>+E117</f>
        <v>14.53832261006259</v>
      </c>
      <c r="Q128" s="3">
        <f>E45</f>
        <v>16.001144900279218</v>
      </c>
      <c r="R128" s="68">
        <f>E69</f>
        <v>15.729020649831579</v>
      </c>
      <c r="S128" s="3">
        <f>+E93</f>
        <v>14.522599625568333</v>
      </c>
    </row>
    <row r="129" spans="2:19" ht="15.75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 t="s">
        <v>31</v>
      </c>
      <c r="L129" s="139"/>
      <c r="M129" s="58"/>
      <c r="N129" s="66" t="s">
        <v>3</v>
      </c>
      <c r="O129" s="3">
        <f>E22</f>
        <v>2.7391304347826062</v>
      </c>
      <c r="P129" s="3">
        <f>+E118</f>
        <v>2.8638753593436443</v>
      </c>
      <c r="Q129" s="3">
        <f>E46</f>
        <v>2.8148552506821294</v>
      </c>
      <c r="R129" s="68">
        <f>E70</f>
        <v>2.8239743080109623</v>
      </c>
      <c r="S129" s="3">
        <f>+E94</f>
        <v>2.8644022465899956</v>
      </c>
    </row>
    <row r="130" spans="2:19" ht="15.75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 t="s">
        <v>32</v>
      </c>
      <c r="L130" s="138">
        <v>1.2</v>
      </c>
      <c r="M130" s="57"/>
      <c r="N130" s="111" t="s">
        <v>5</v>
      </c>
      <c r="O130" s="37">
        <f>F21</f>
        <v>17.499999999999996</v>
      </c>
      <c r="P130" s="37">
        <f>+F117</f>
        <v>13.906171166467946</v>
      </c>
      <c r="Q130" s="37">
        <f>+F45</f>
        <v>15.316787142932181</v>
      </c>
      <c r="R130" s="69">
        <f>+F69</f>
        <v>15.054215600877061</v>
      </c>
      <c r="S130" s="37">
        <f>+F93</f>
        <v>13.891020721412126</v>
      </c>
    </row>
    <row r="131" spans="2:19" ht="15.75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 t="s">
        <v>32</v>
      </c>
      <c r="L131" s="138"/>
      <c r="M131" s="57"/>
      <c r="N131" s="111" t="s">
        <v>3</v>
      </c>
      <c r="O131" s="37">
        <f>F22</f>
        <v>3.4999999999999991</v>
      </c>
      <c r="P131" s="37">
        <f>+F118</f>
        <v>3.6524654656649949</v>
      </c>
      <c r="Q131" s="37">
        <f>+F46</f>
        <v>3.5926211515119677</v>
      </c>
      <c r="R131" s="69">
        <f>+F70</f>
        <v>3.6037605502658221</v>
      </c>
      <c r="S131" s="37">
        <f>+F94</f>
        <v>3.6531082118188785</v>
      </c>
    </row>
    <row r="132" spans="2:19" ht="15.75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 t="s">
        <v>33</v>
      </c>
      <c r="L132" s="139">
        <v>1.25</v>
      </c>
      <c r="M132" s="58"/>
      <c r="N132" s="66" t="s">
        <v>5</v>
      </c>
      <c r="O132" s="3">
        <f>G21</f>
        <v>16.8</v>
      </c>
      <c r="P132" s="3">
        <f>G117</f>
        <v>13.326703039983279</v>
      </c>
      <c r="Q132" s="3">
        <f>+G45</f>
        <v>14.688567405475961</v>
      </c>
      <c r="R132" s="68">
        <f>G69</f>
        <v>14.434929534196076</v>
      </c>
      <c r="S132" s="3">
        <f>G93</f>
        <v>13.3120862956607</v>
      </c>
    </row>
    <row r="133" spans="2:19" ht="15.75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 t="s">
        <v>33</v>
      </c>
      <c r="L133" s="139"/>
      <c r="M133" s="58"/>
      <c r="N133" s="66" t="s">
        <v>3</v>
      </c>
      <c r="O133" s="3">
        <f>G22</f>
        <v>4.2</v>
      </c>
      <c r="P133" s="3">
        <f>G118</f>
        <v>4.3753347023085345</v>
      </c>
      <c r="Q133" s="3">
        <f>G46</f>
        <v>4.3065867415504906</v>
      </c>
      <c r="R133" s="68">
        <f>G70</f>
        <v>4.3193905763987575</v>
      </c>
      <c r="S133" s="3">
        <f>G94</f>
        <v>4.376072566805588</v>
      </c>
    </row>
    <row r="134" spans="2:19" ht="15.75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 t="s">
        <v>34</v>
      </c>
      <c r="L134" s="139">
        <v>1.3</v>
      </c>
      <c r="M134" s="58"/>
      <c r="N134" s="66" t="s">
        <v>5</v>
      </c>
      <c r="O134" s="3">
        <f>H21</f>
        <v>16.153846153846153</v>
      </c>
      <c r="P134" s="3">
        <f>H117</f>
        <v>12.793595768248744</v>
      </c>
      <c r="Q134" s="3">
        <f>H45</f>
        <v>14.109850316904144</v>
      </c>
      <c r="R134" s="68">
        <f>H69</f>
        <v>13.864581508358768</v>
      </c>
      <c r="S134" s="3">
        <f>H93</f>
        <v>12.779477524123326</v>
      </c>
    </row>
    <row r="135" spans="2:19" ht="15.75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 t="s">
        <v>34</v>
      </c>
      <c r="L135" s="139"/>
      <c r="M135" s="58"/>
      <c r="N135" s="66" t="s">
        <v>3</v>
      </c>
      <c r="O135" s="3">
        <f>H22</f>
        <v>4.8461538461538467</v>
      </c>
      <c r="P135" s="3">
        <f>H118</f>
        <v>5.0403701528443392</v>
      </c>
      <c r="Q135" s="3">
        <f>H46</f>
        <v>4.9642930550780173</v>
      </c>
      <c r="R135" s="68">
        <f>H70</f>
        <v>4.9784691421774285</v>
      </c>
      <c r="S135" s="3">
        <f>H94</f>
        <v>5.0411861614497528</v>
      </c>
    </row>
    <row r="136" spans="2:19" ht="15.75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 t="s">
        <v>35</v>
      </c>
      <c r="L136" s="138">
        <v>1.35</v>
      </c>
      <c r="M136" s="57"/>
      <c r="N136" s="111" t="s">
        <v>5</v>
      </c>
      <c r="O136" s="37">
        <f>+I21</f>
        <v>15.555555555555555</v>
      </c>
      <c r="P136" s="37">
        <f>I117</f>
        <v>12.301499644110644</v>
      </c>
      <c r="Q136" s="37">
        <f>+I45</f>
        <v>13.575006579711291</v>
      </c>
      <c r="R136" s="69">
        <f>I69</f>
        <v>13.337591143754327</v>
      </c>
      <c r="S136" s="37">
        <f>I93</f>
        <v>12.28784792939579</v>
      </c>
    </row>
    <row r="137" spans="2:19" ht="15.75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 t="s">
        <v>35</v>
      </c>
      <c r="L137" s="138"/>
      <c r="M137" s="57"/>
      <c r="N137" s="111" t="s">
        <v>3</v>
      </c>
      <c r="O137" s="37">
        <f>+I22</f>
        <v>5.4444444444444438</v>
      </c>
      <c r="P137" s="37">
        <f>I118</f>
        <v>5.6542454176823398</v>
      </c>
      <c r="Q137" s="37">
        <f>+I46</f>
        <v>5.5721377336765103</v>
      </c>
      <c r="R137" s="69">
        <f>I70</f>
        <v>5.5874447815211035</v>
      </c>
      <c r="S137" s="37">
        <f>I94</f>
        <v>5.6551255940257974</v>
      </c>
    </row>
    <row r="138" spans="2:19" ht="15.75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 t="s">
        <v>36</v>
      </c>
      <c r="L138" s="139">
        <v>1.4</v>
      </c>
      <c r="M138" s="58"/>
      <c r="N138" s="66" t="s">
        <v>5</v>
      </c>
      <c r="O138" s="3">
        <f>J21</f>
        <v>15</v>
      </c>
      <c r="P138" s="3">
        <f>J117</f>
        <v>11.845857563518521</v>
      </c>
      <c r="Q138" s="3">
        <f>J45</f>
        <v>13.079229254170025</v>
      </c>
      <c r="R138" s="68">
        <f>J69</f>
        <v>12.849195429801998</v>
      </c>
      <c r="S138" s="3">
        <f>J93</f>
        <v>11.832643277402486</v>
      </c>
    </row>
    <row r="139" spans="2:19" ht="15.75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 t="s">
        <v>36</v>
      </c>
      <c r="L139" s="139"/>
      <c r="M139" s="58"/>
      <c r="N139" s="66" t="s">
        <v>3</v>
      </c>
      <c r="O139" s="3">
        <f>J22</f>
        <v>5.9999999999999991</v>
      </c>
      <c r="P139" s="3">
        <f>J118</f>
        <v>6.2226453484575153</v>
      </c>
      <c r="Q139" s="3">
        <f>+J46</f>
        <v>6.1355838173527015</v>
      </c>
      <c r="R139" s="68">
        <f>J70</f>
        <v>6.1518214990727982</v>
      </c>
      <c r="S139" s="3">
        <f>J94</f>
        <v>6.2235781215951169</v>
      </c>
    </row>
    <row r="140" spans="2:19" ht="15.75" x14ac:dyDescent="0.2">
      <c r="C140" s="3"/>
      <c r="D140" s="3"/>
      <c r="E140" s="3"/>
      <c r="F140" s="3"/>
      <c r="G140" s="3"/>
      <c r="H140" s="3"/>
      <c r="I140" s="3"/>
      <c r="J140" s="3"/>
      <c r="K140" s="3" t="s">
        <v>37</v>
      </c>
      <c r="L140" s="139">
        <v>1.45</v>
      </c>
      <c r="M140" s="58"/>
      <c r="N140" s="66" t="s">
        <v>5</v>
      </c>
      <c r="O140" s="3">
        <f>K21</f>
        <v>14.482758620689653</v>
      </c>
      <c r="P140" s="3">
        <f>K117</f>
        <v>11.422763479975657</v>
      </c>
      <c r="Q140" s="3">
        <f>K45</f>
        <v>12.618388881420572</v>
      </c>
      <c r="R140" s="68">
        <f>K69</f>
        <v>12.395304359295654</v>
      </c>
      <c r="S140" s="3">
        <f>K93</f>
        <v>11.409960075646145</v>
      </c>
    </row>
    <row r="141" spans="2:19" ht="15.75" x14ac:dyDescent="0.2">
      <c r="K141" s="3" t="s">
        <v>37</v>
      </c>
      <c r="L141" s="139"/>
      <c r="M141" s="58"/>
      <c r="N141" s="66" t="s">
        <v>3</v>
      </c>
      <c r="O141" s="3">
        <f>K22</f>
        <v>6.5172413793103443</v>
      </c>
      <c r="P141" s="3">
        <f>K118</f>
        <v>6.7504426218889506</v>
      </c>
      <c r="Q141" s="3">
        <f>K46</f>
        <v>6.6593243957304464</v>
      </c>
      <c r="R141" s="68">
        <f>K70</f>
        <v>6.6763255951988381</v>
      </c>
      <c r="S141" s="3">
        <f>K94</f>
        <v>6.7514183652027731</v>
      </c>
    </row>
    <row r="142" spans="2:19" ht="15.75" x14ac:dyDescent="0.2">
      <c r="K142" s="3" t="s">
        <v>38</v>
      </c>
      <c r="L142" s="138">
        <v>1.5</v>
      </c>
      <c r="M142" s="57"/>
      <c r="N142" s="111" t="s">
        <v>5</v>
      </c>
      <c r="O142" s="37">
        <f>+L21</f>
        <v>13.999999999999998</v>
      </c>
      <c r="P142" s="37">
        <f>L117</f>
        <v>11.028850146129832</v>
      </c>
      <c r="Q142" s="37">
        <f>L45</f>
        <v>12.188918192137688</v>
      </c>
      <c r="R142" s="69">
        <f>L69</f>
        <v>11.972386116618495</v>
      </c>
      <c r="S142" s="37">
        <f>L93</f>
        <v>11.016433353621425</v>
      </c>
    </row>
    <row r="143" spans="2:19" ht="15.75" x14ac:dyDescent="0.2">
      <c r="D143" s="1"/>
      <c r="E143" s="1"/>
      <c r="F143" s="2"/>
      <c r="G143" s="2"/>
      <c r="K143" s="3" t="s">
        <v>38</v>
      </c>
      <c r="L143" s="138"/>
      <c r="M143" s="57"/>
      <c r="N143" s="111" t="s">
        <v>3</v>
      </c>
      <c r="O143" s="37">
        <f>+L22</f>
        <v>6.9999999999999991</v>
      </c>
      <c r="P143" s="37">
        <f>L118</f>
        <v>7.2418377788033865</v>
      </c>
      <c r="Q143" s="37">
        <f>L46</f>
        <v>7.1474136355236748</v>
      </c>
      <c r="R143" s="69">
        <f>L70</f>
        <v>7.1650383393450037</v>
      </c>
      <c r="S143" s="37">
        <f>L94</f>
        <v>7.2428484479610482</v>
      </c>
    </row>
    <row r="144" spans="2:19" x14ac:dyDescent="0.2">
      <c r="N144" s="68"/>
    </row>
    <row r="146" spans="2:13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61" spans="2:13" x14ac:dyDescent="0.2">
      <c r="D161" s="1"/>
      <c r="E161" s="1"/>
      <c r="F161" s="2"/>
      <c r="G161" s="2"/>
    </row>
    <row r="164" spans="2:13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9" spans="2:13" x14ac:dyDescent="0.2">
      <c r="D179" s="1"/>
      <c r="E179" s="1"/>
      <c r="F179" s="2"/>
      <c r="G179" s="2"/>
    </row>
    <row r="182" spans="2:13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</sheetData>
  <sheetProtection sheet="1" objects="1" scenarios="1"/>
  <mergeCells count="42">
    <mergeCell ref="J1:K7"/>
    <mergeCell ref="J25:K31"/>
    <mergeCell ref="J49:K55"/>
    <mergeCell ref="J73:K79"/>
    <mergeCell ref="J97:K103"/>
    <mergeCell ref="H1:I1"/>
    <mergeCell ref="H97:I97"/>
    <mergeCell ref="A101:C101"/>
    <mergeCell ref="D101:F101"/>
    <mergeCell ref="G101:I101"/>
    <mergeCell ref="A5:C5"/>
    <mergeCell ref="D5:F5"/>
    <mergeCell ref="G5:I5"/>
    <mergeCell ref="H25:I25"/>
    <mergeCell ref="A29:C29"/>
    <mergeCell ref="D29:F29"/>
    <mergeCell ref="G29:I29"/>
    <mergeCell ref="H49:I49"/>
    <mergeCell ref="A53:C53"/>
    <mergeCell ref="D53:F53"/>
    <mergeCell ref="G53:I53"/>
    <mergeCell ref="H73:I73"/>
    <mergeCell ref="A77:C77"/>
    <mergeCell ref="D77:F77"/>
    <mergeCell ref="G77:I77"/>
    <mergeCell ref="L134:L135"/>
    <mergeCell ref="L124:L125"/>
    <mergeCell ref="L122:L123"/>
    <mergeCell ref="L126:L127"/>
    <mergeCell ref="L128:L129"/>
    <mergeCell ref="N46:N48"/>
    <mergeCell ref="L136:L137"/>
    <mergeCell ref="L142:L143"/>
    <mergeCell ref="L140:L141"/>
    <mergeCell ref="L138:L139"/>
    <mergeCell ref="L132:L133"/>
    <mergeCell ref="L130:L131"/>
    <mergeCell ref="N38:N39"/>
    <mergeCell ref="N25:N31"/>
    <mergeCell ref="N35:N37"/>
    <mergeCell ref="N40:N42"/>
    <mergeCell ref="N43:N45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&amp;C&amp;10&amp;A</oddHeader>
    <oddFooter>&amp;C&amp;10Page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 Newman</cp:lastModifiedBy>
  <dcterms:created xsi:type="dcterms:W3CDTF">2020-10-31T18:06:39Z</dcterms:created>
  <dcterms:modified xsi:type="dcterms:W3CDTF">2023-03-26T17:46:59Z</dcterms:modified>
</cp:coreProperties>
</file>